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.kalsone\Downloads\"/>
    </mc:Choice>
  </mc:AlternateContent>
  <bookViews>
    <workbookView xWindow="0" yWindow="0" windowWidth="28800" windowHeight="11700" activeTab="3"/>
  </bookViews>
  <sheets>
    <sheet name="2017_I" sheetId="2" r:id="rId1"/>
    <sheet name="2017" sheetId="3" r:id="rId2"/>
    <sheet name="attels_2017" sheetId="4" r:id="rId3"/>
    <sheet name="2018_I" sheetId="6" r:id="rId4"/>
    <sheet name="attels_2018_I" sheetId="7" r:id="rId5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4" l="1"/>
  <c r="B22" i="4"/>
  <c r="C21" i="4"/>
  <c r="B21" i="4"/>
  <c r="C20" i="4"/>
  <c r="B20" i="4"/>
  <c r="C4" i="4"/>
  <c r="B4" i="4"/>
  <c r="C3" i="4"/>
  <c r="B3" i="4"/>
  <c r="C2" i="4"/>
  <c r="B2" i="4"/>
  <c r="E19" i="6"/>
  <c r="E33" i="6"/>
  <c r="E32" i="6"/>
  <c r="E39" i="6"/>
  <c r="E38" i="6"/>
  <c r="E37" i="6"/>
  <c r="E24" i="6"/>
  <c r="E23" i="6"/>
  <c r="D9" i="6"/>
  <c r="D25" i="6"/>
  <c r="E36" i="6"/>
  <c r="D20" i="6"/>
  <c r="F20" i="6"/>
  <c r="F9" i="6"/>
  <c r="D40" i="6"/>
  <c r="E42" i="6"/>
  <c r="E44" i="6"/>
  <c r="E40" i="6"/>
  <c r="F40" i="6"/>
  <c r="D36" i="6"/>
  <c r="F36" i="6"/>
  <c r="E22" i="6"/>
  <c r="F25" i="6"/>
  <c r="G25" i="6"/>
  <c r="G45" i="6"/>
  <c r="H25" i="6"/>
  <c r="H45" i="6"/>
  <c r="E34" i="6"/>
  <c r="E31" i="6"/>
  <c r="E30" i="6"/>
  <c r="C44" i="6"/>
  <c r="C43" i="6"/>
  <c r="C42" i="6"/>
  <c r="C41" i="6"/>
  <c r="C40" i="6"/>
  <c r="C37" i="6"/>
  <c r="C38" i="6"/>
  <c r="C39" i="6"/>
  <c r="C36" i="6"/>
  <c r="C24" i="6"/>
  <c r="C23" i="6"/>
  <c r="C21" i="6"/>
  <c r="C22" i="6"/>
  <c r="C20" i="6"/>
  <c r="C19" i="6"/>
  <c r="C18" i="6"/>
  <c r="C17" i="6"/>
  <c r="C16" i="6"/>
  <c r="C15" i="6"/>
  <c r="C14" i="6"/>
  <c r="C13" i="6"/>
  <c r="C12" i="6"/>
  <c r="C11" i="6"/>
  <c r="C10" i="6"/>
  <c r="C9" i="6"/>
  <c r="C35" i="6"/>
  <c r="C34" i="6"/>
  <c r="C33" i="6"/>
  <c r="C32" i="6"/>
  <c r="C31" i="6"/>
  <c r="C26" i="6"/>
  <c r="C27" i="6"/>
  <c r="C28" i="6"/>
  <c r="C29" i="6"/>
  <c r="C30" i="6"/>
  <c r="C25" i="6"/>
  <c r="E29" i="6"/>
  <c r="E28" i="6"/>
  <c r="E27" i="6"/>
  <c r="E26" i="6"/>
  <c r="E25" i="6"/>
  <c r="E21" i="6"/>
  <c r="E20" i="6"/>
  <c r="E15" i="6"/>
  <c r="E14" i="6"/>
  <c r="E13" i="6"/>
  <c r="E12" i="6"/>
  <c r="E11" i="6"/>
  <c r="E10" i="6"/>
  <c r="E9" i="6"/>
  <c r="C45" i="6"/>
  <c r="D45" i="6"/>
  <c r="F45" i="6"/>
  <c r="E45" i="6"/>
  <c r="F18" i="3"/>
  <c r="E18" i="3"/>
  <c r="C18" i="3"/>
  <c r="H18" i="3"/>
  <c r="H23" i="3"/>
  <c r="G18" i="3"/>
  <c r="G23" i="3"/>
  <c r="D18" i="3"/>
  <c r="E16" i="3"/>
  <c r="F16" i="3"/>
  <c r="D16" i="3"/>
  <c r="C16" i="3"/>
  <c r="E9" i="3"/>
  <c r="E23" i="3"/>
  <c r="F9" i="3"/>
  <c r="F23" i="3"/>
  <c r="D9" i="3"/>
  <c r="D23" i="3"/>
  <c r="C9" i="3"/>
  <c r="C23" i="3"/>
  <c r="H18" i="2"/>
  <c r="H23" i="2"/>
  <c r="G18" i="2"/>
  <c r="G23" i="2"/>
  <c r="E22" i="2"/>
  <c r="E21" i="2"/>
  <c r="E20" i="2"/>
  <c r="E19" i="2"/>
  <c r="E18" i="2"/>
  <c r="F16" i="2"/>
  <c r="E17" i="2"/>
  <c r="E16" i="2"/>
  <c r="F9" i="2"/>
  <c r="F23" i="2"/>
  <c r="E10" i="2"/>
  <c r="E11" i="2"/>
  <c r="E12" i="2"/>
  <c r="E13" i="2"/>
  <c r="E14" i="2"/>
  <c r="E15" i="2"/>
  <c r="E9" i="2"/>
  <c r="E23" i="2"/>
  <c r="C17" i="2"/>
  <c r="C22" i="2"/>
  <c r="C21" i="2"/>
  <c r="C20" i="2"/>
  <c r="C19" i="2"/>
  <c r="C18" i="2"/>
  <c r="D18" i="2"/>
  <c r="D16" i="2"/>
  <c r="C16" i="2"/>
  <c r="D9" i="2"/>
  <c r="C9" i="2"/>
  <c r="D23" i="2"/>
  <c r="C23" i="2"/>
</calcChain>
</file>

<file path=xl/sharedStrings.xml><?xml version="1.0" encoding="utf-8"?>
<sst xmlns="http://schemas.openxmlformats.org/spreadsheetml/2006/main" count="356" uniqueCount="105">
  <si>
    <t>Veselības aprūpes sistēmas reformas progresa rādītāji: atkāpes izlietojums</t>
  </si>
  <si>
    <t>P1.1.tabula</t>
  </si>
  <si>
    <t>Health care reform performance indicators: deviation use</t>
  </si>
  <si>
    <t>Table P1.1</t>
  </si>
  <si>
    <t xml:space="preserve">2017 / I </t>
  </si>
  <si>
    <t>Finansējums, eiro</t>
  </si>
  <si>
    <t>Papildu skaits, pacienti</t>
  </si>
  <si>
    <t>Rindu garums, dienās</t>
  </si>
  <si>
    <t>No; formula</t>
  </si>
  <si>
    <t>Rādītājs</t>
  </si>
  <si>
    <t>Financing, euro</t>
  </si>
  <si>
    <t>Additional volume, patients</t>
  </si>
  <si>
    <t>Waiting list, days</t>
  </si>
  <si>
    <t>Item</t>
  </si>
  <si>
    <t>Plāns</t>
  </si>
  <si>
    <t>Faktiskā izpilde</t>
  </si>
  <si>
    <t>Pirms 2017.gada</t>
  </si>
  <si>
    <t>Planned</t>
  </si>
  <si>
    <t>Actual outcome</t>
  </si>
  <si>
    <t>Before 2017</t>
  </si>
  <si>
    <t>1.</t>
  </si>
  <si>
    <t>Onkoloģija</t>
  </si>
  <si>
    <t>x</t>
  </si>
  <si>
    <t>Oncology</t>
  </si>
  <si>
    <t xml:space="preserve">Primārā diagnostika
</t>
  </si>
  <si>
    <t>Primary diagnostics</t>
  </si>
  <si>
    <t>Speciālistu konsultācijas</t>
  </si>
  <si>
    <t>Expert consultations</t>
  </si>
  <si>
    <t>Sekundārā diagnostika un izmeklējumi</t>
  </si>
  <si>
    <t>Secondary diagnostics and examinations</t>
  </si>
  <si>
    <t>Ambulatorā ārstēšana</t>
  </si>
  <si>
    <t>Ambulatory treatment</t>
  </si>
  <si>
    <t>Stacionārā ārstēšana</t>
  </si>
  <si>
    <t>Hospital treatment</t>
  </si>
  <si>
    <t>Kompensējamie medikamenti</t>
  </si>
  <si>
    <t>Reimbursable drugs</t>
  </si>
  <si>
    <t>2.</t>
  </si>
  <si>
    <t>Infekcijas slimību izplatības mazināšana</t>
  </si>
  <si>
    <t>Reducing the spread of infectious diseases</t>
  </si>
  <si>
    <t>3.</t>
  </si>
  <si>
    <t>Veselības aprūpes pakalpojumu pieejamība</t>
  </si>
  <si>
    <t>Access to health care services</t>
  </si>
  <si>
    <t>Ambulatorie izmeklējumi un terapija</t>
  </si>
  <si>
    <t>Ambulatory examinations and therapy</t>
  </si>
  <si>
    <t>Dienas stacionārs</t>
  </si>
  <si>
    <t>Daily hospital treatment</t>
  </si>
  <si>
    <t>Ambulatorā rehabilitācija</t>
  </si>
  <si>
    <t>Ambulatory rehabilitation</t>
  </si>
  <si>
    <t>1.+2.+3.</t>
  </si>
  <si>
    <t>Kopā atkāpe no vidēja termiņa budžeta mērķa</t>
  </si>
  <si>
    <t>Total deviation from medium-term budget objective</t>
  </si>
  <si>
    <t>Avots: Veselības ministrija, Fiskālās disciplīnas padomes aprēķini</t>
  </si>
  <si>
    <t>Source: Ministry of Health, Fiscal Discipline Council calculations</t>
  </si>
  <si>
    <t>P1.2.tabula</t>
  </si>
  <si>
    <t>Table P1.2</t>
  </si>
  <si>
    <t xml:space="preserve">2018 / I </t>
  </si>
  <si>
    <t>Pirms reformas</t>
  </si>
  <si>
    <t>Before reform</t>
  </si>
  <si>
    <t>Pozitronu emisijas tomogrāfija/datortomogrāfija</t>
  </si>
  <si>
    <t>Positron emission tomography / computer tomography</t>
  </si>
  <si>
    <t>Staru terapijas un ķīmijterapijas efektivitātes uzlabošana</t>
  </si>
  <si>
    <t>Improving the effectiveness of radiation therapy and chemotherapy</t>
  </si>
  <si>
    <t>Valsts patoloģijas centra izveide</t>
  </si>
  <si>
    <t>Establishment of a national pathology center</t>
  </si>
  <si>
    <t>Vēža skrīninga programmas reforma</t>
  </si>
  <si>
    <t>Reform of Cancer Screening Program</t>
  </si>
  <si>
    <t>References laboratorijas izmeklējumi VHC hepatīta pacientu terapijas uzsākšanai un terapijas monitoringam saistībā ar pacientu skaita pieaugumu</t>
  </si>
  <si>
    <t xml:space="preserve">Reference laboratory tests for the initiation of treatment for VHC patients with hepatitis </t>
  </si>
  <si>
    <t>Vīrusu molekulārās izmeklēšanas analītiskās jutības rādītāju uzlabošana</t>
  </si>
  <si>
    <t>Improvement of analytical sensitivity of viral molecular investigations</t>
  </si>
  <si>
    <t>HIV/AIDS medikamentozā ārstēšana</t>
  </si>
  <si>
    <t>HIV / AIDS medication</t>
  </si>
  <si>
    <t>Diabēta apmācības kabinetu izveide</t>
  </si>
  <si>
    <t>Diabetic training cabinets</t>
  </si>
  <si>
    <t>Endoprotezēšanas operācijas stacionārā</t>
  </si>
  <si>
    <t>Endoprosthetic surgery in a hospital</t>
  </si>
  <si>
    <t>Darbnespējas saīsināšana un pasākumi prognozējamās invaliditātes novēršanai ar mērķi novērst ilgstošu slimošanu personām darbspējīgā vecumā</t>
  </si>
  <si>
    <t>Reducing incapacity for work and measures to prevent predictable disability</t>
  </si>
  <si>
    <t>Aknu transplantācijas</t>
  </si>
  <si>
    <t>Liver transplantation</t>
  </si>
  <si>
    <t>Bioloģiskās terapijas nodrošināšana Krona slimībai, čūlainajam kolītam un psoriāzei</t>
  </si>
  <si>
    <t>Providing biological therapy for Crohn's disease, ulcerative colitis and psoriasis</t>
  </si>
  <si>
    <t>Hronisko pacientu aprūpes reforma</t>
  </si>
  <si>
    <t>Chronic Patient Care Reform</t>
  </si>
  <si>
    <t>4.</t>
  </si>
  <si>
    <t>Primārā veselības aprūpe</t>
  </si>
  <si>
    <t>Primary health care</t>
  </si>
  <si>
    <t>Mērķa kritēriju izpildes iekļaušana kapitācijas naudā</t>
  </si>
  <si>
    <t>Inclusion of the fulfillment of the target criteria in the capital's money</t>
  </si>
  <si>
    <t>Ģimenes ārstu kvalitātes maksājumu sistēmas reforma</t>
  </si>
  <si>
    <t>Family doctors' quality payment system reform</t>
  </si>
  <si>
    <t>Bērnu zobārstniecības tarifu pārskatīšana</t>
  </si>
  <si>
    <t>Child dentistry tariff review</t>
  </si>
  <si>
    <t>5.</t>
  </si>
  <si>
    <t>Sirds un asinsvadu programma</t>
  </si>
  <si>
    <t>Cardiovascular program</t>
  </si>
  <si>
    <t>Kardiovaskulārā riska izvērtēšana un algoritmu ieviešana</t>
  </si>
  <si>
    <t>Cardiovascular risk assessment and implementation of algorithms</t>
  </si>
  <si>
    <t>Aortālā vārstuļa transkatetrāla implantācija (TAVI) pakalpojuma ieviešana</t>
  </si>
  <si>
    <t>Implantation of the Aortic Valve Transcattal Implantation (TAVI) service</t>
  </si>
  <si>
    <t>Angiogrāfu iegāde</t>
  </si>
  <si>
    <t>Purchase of angiographs</t>
  </si>
  <si>
    <t>SAS medikamenti</t>
  </si>
  <si>
    <t>SAS medication</t>
  </si>
  <si>
    <t>1.+2.+3.+4.+5.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</si>
</sst>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1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vertical="top"/>
    </xf>
    <xf numFmtId="0" fontId="1" fillId="2" borderId="11" xfId="0" applyFont="1" applyFill="1" applyBorder="1"/>
    <xf numFmtId="0" fontId="1" fillId="2" borderId="11" xfId="0" applyFont="1" applyFill="1" applyBorder="1" applyAlignment="1"/>
    <xf numFmtId="2" fontId="3" fillId="2" borderId="3" xfId="0" applyNumberFormat="1" applyFont="1" applyFill="1" applyBorder="1"/>
    <xf numFmtId="0" fontId="3" fillId="2" borderId="3" xfId="0" applyFont="1" applyFill="1" applyBorder="1" applyAlignment="1"/>
    <xf numFmtId="2" fontId="3" fillId="2" borderId="3" xfId="0" quotePrefix="1" applyNumberFormat="1" applyFont="1" applyFill="1" applyBorder="1"/>
    <xf numFmtId="0" fontId="3" fillId="2" borderId="3" xfId="0" quotePrefix="1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3" fontId="1" fillId="2" borderId="11" xfId="0" applyNumberFormat="1" applyFont="1" applyFill="1" applyBorder="1"/>
    <xf numFmtId="3" fontId="3" fillId="2" borderId="3" xfId="0" applyNumberFormat="1" applyFont="1" applyFill="1" applyBorder="1"/>
    <xf numFmtId="3" fontId="4" fillId="2" borderId="3" xfId="0" applyNumberFormat="1" applyFont="1" applyFill="1" applyBorder="1"/>
    <xf numFmtId="0" fontId="5" fillId="2" borderId="0" xfId="0" applyFont="1" applyFill="1"/>
    <xf numFmtId="3" fontId="3" fillId="2" borderId="3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left" vertical="top"/>
    </xf>
    <xf numFmtId="0" fontId="1" fillId="2" borderId="4" xfId="0" applyFont="1" applyFill="1" applyBorder="1" applyAlignment="1">
      <alignment horizontal="left"/>
    </xf>
    <xf numFmtId="0" fontId="0" fillId="2" borderId="0" xfId="0" applyFill="1"/>
    <xf numFmtId="0" fontId="7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 applyBorder="1"/>
    <xf numFmtId="164" fontId="7" fillId="2" borderId="0" xfId="0" applyNumberFormat="1" applyFont="1" applyFill="1" applyBorder="1"/>
    <xf numFmtId="1" fontId="7" fillId="2" borderId="0" xfId="0" applyNumberFormat="1" applyFont="1" applyFill="1" applyBorder="1"/>
    <xf numFmtId="0" fontId="6" fillId="2" borderId="0" xfId="0" applyFont="1" applyFill="1" applyAlignment="1">
      <alignment vertical="top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Veselības aprūpes sistēmas reformas atkāpes finansējuma izlietojums 2017.</a:t>
            </a:r>
            <a:r>
              <a:rPr lang="lv-LV" sz="1000" baseline="0"/>
              <a:t> gadā</a:t>
            </a:r>
            <a:r>
              <a:rPr lang="lv-LV" sz="1000"/>
              <a:t>, milj. eiro</a:t>
            </a:r>
          </a:p>
        </c:rich>
      </c:tx>
      <c:layout>
        <c:manualLayout>
          <c:xMode val="edge"/>
          <c:yMode val="edge"/>
          <c:x val="0.1679477124183006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attels_2017!$B$1</c:f>
              <c:strCache>
                <c:ptCount val="1"/>
                <c:pt idx="0">
                  <c:v>Plāns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attels_2017!$A$2:$A$4</c:f>
              <c:strCache>
                <c:ptCount val="3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</c:strCache>
            </c:strRef>
          </c:cat>
          <c:val>
            <c:numRef>
              <c:f>attels_2017!$B$2:$B$4</c:f>
              <c:numCache>
                <c:formatCode>0</c:formatCode>
                <c:ptCount val="3"/>
                <c:pt idx="0">
                  <c:v>12.262259999999999</c:v>
                </c:pt>
                <c:pt idx="1">
                  <c:v>5.4628829999999997</c:v>
                </c:pt>
                <c:pt idx="2">
                  <c:v>16.599307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B6E-A17B-E1F543647412}"/>
            </c:ext>
          </c:extLst>
        </c:ser>
        <c:ser>
          <c:idx val="1"/>
          <c:order val="1"/>
          <c:tx>
            <c:strRef>
              <c:f>attels_2017!$C$1</c:f>
              <c:strCache>
                <c:ptCount val="1"/>
                <c:pt idx="0">
                  <c:v>Faktiskā izpilde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attels_2017!$A$2:$A$4</c:f>
              <c:strCache>
                <c:ptCount val="3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</c:strCache>
            </c:strRef>
          </c:cat>
          <c:val>
            <c:numRef>
              <c:f>attels_2017!$C$2:$C$4</c:f>
              <c:numCache>
                <c:formatCode>0</c:formatCode>
                <c:ptCount val="3"/>
                <c:pt idx="0">
                  <c:v>12.005178000000001</c:v>
                </c:pt>
                <c:pt idx="1">
                  <c:v>5.4628829999999997</c:v>
                </c:pt>
                <c:pt idx="2">
                  <c:v>16.563984999999999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A-4B6E-A17B-E1F543647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530815"/>
        <c:axId val="977532895"/>
      </c:barChart>
      <c:catAx>
        <c:axId val="977530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77532895"/>
        <c:crosses val="autoZero"/>
        <c:auto val="1"/>
        <c:lblAlgn val="ctr"/>
        <c:lblOffset val="100"/>
        <c:noMultiLvlLbl val="0"/>
      </c:catAx>
      <c:valAx>
        <c:axId val="97753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7753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Use of the health care system reform deviation funding in 2017, million euro</a:t>
            </a:r>
          </a:p>
        </c:rich>
      </c:tx>
      <c:layout>
        <c:manualLayout>
          <c:xMode val="edge"/>
          <c:yMode val="edge"/>
          <c:x val="0.12373708169291339"/>
          <c:y val="4.6205949969912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attels_2017!$B$19</c:f>
              <c:strCache>
                <c:ptCount val="1"/>
                <c:pt idx="0">
                  <c:v>Planned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attels_2017!$A$20:$A$22</c:f>
              <c:strCache>
                <c:ptCount val="3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</c:strCache>
            </c:strRef>
          </c:cat>
          <c:val>
            <c:numRef>
              <c:f>attels_2017!$B$20:$B$22</c:f>
              <c:numCache>
                <c:formatCode>0</c:formatCode>
                <c:ptCount val="3"/>
                <c:pt idx="0">
                  <c:v>12.262259999999999</c:v>
                </c:pt>
                <c:pt idx="1">
                  <c:v>5.4628829999999997</c:v>
                </c:pt>
                <c:pt idx="2">
                  <c:v>16.599307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5-4D8E-90F2-859D982CEA65}"/>
            </c:ext>
          </c:extLst>
        </c:ser>
        <c:ser>
          <c:idx val="1"/>
          <c:order val="1"/>
          <c:tx>
            <c:strRef>
              <c:f>attels_2017!$C$19</c:f>
              <c:strCache>
                <c:ptCount val="1"/>
                <c:pt idx="0">
                  <c:v>Actual outcome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attels_2017!$A$20:$A$22</c:f>
              <c:strCache>
                <c:ptCount val="3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</c:strCache>
            </c:strRef>
          </c:cat>
          <c:val>
            <c:numRef>
              <c:f>attels_2017!$C$20:$C$22</c:f>
              <c:numCache>
                <c:formatCode>0</c:formatCode>
                <c:ptCount val="3"/>
                <c:pt idx="0">
                  <c:v>12.005178000000001</c:v>
                </c:pt>
                <c:pt idx="1">
                  <c:v>5.4628829999999997</c:v>
                </c:pt>
                <c:pt idx="2">
                  <c:v>16.563984999999999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B5-4D8E-90F2-859D982CE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530815"/>
        <c:axId val="977532895"/>
      </c:barChart>
      <c:catAx>
        <c:axId val="977530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77532895"/>
        <c:crosses val="autoZero"/>
        <c:auto val="1"/>
        <c:lblAlgn val="ctr"/>
        <c:lblOffset val="100"/>
        <c:noMultiLvlLbl val="0"/>
      </c:catAx>
      <c:valAx>
        <c:axId val="97753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7753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Veselības aprūpes sistēmas reformas atkāpes finansējuma izlietojums 2018. gada 1. pusgadā, milj. eiro</a:t>
            </a:r>
          </a:p>
        </c:rich>
      </c:tx>
      <c:layout>
        <c:manualLayout>
          <c:xMode val="edge"/>
          <c:yMode val="edge"/>
          <c:x val="0.13415954406625513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attels_2018_I!$B$1</c:f>
              <c:strCache>
                <c:ptCount val="1"/>
                <c:pt idx="0">
                  <c:v>Plāns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attels_2018_I!$A$2:$A$6</c:f>
              <c:strCache>
                <c:ptCount val="5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  <c:pt idx="3">
                  <c:v>Primārā veselības aprūpe</c:v>
                </c:pt>
                <c:pt idx="4">
                  <c:v>Sirds un asinsvadu programma</c:v>
                </c:pt>
              </c:strCache>
            </c:strRef>
          </c:cat>
          <c:val>
            <c:numRef>
              <c:f>attels_2018_I!$B$2:$B$6</c:f>
              <c:numCache>
                <c:formatCode>0.0</c:formatCode>
                <c:ptCount val="5"/>
                <c:pt idx="0">
                  <c:v>14.948297</c:v>
                </c:pt>
                <c:pt idx="1">
                  <c:v>8.3703704999999999</c:v>
                </c:pt>
                <c:pt idx="2">
                  <c:v>23.036604499999999</c:v>
                </c:pt>
                <c:pt idx="3">
                  <c:v>4.8320179999999997</c:v>
                </c:pt>
                <c:pt idx="4">
                  <c:v>5.5127100000000002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4-44ED-BD70-53067A38DAD2}"/>
            </c:ext>
          </c:extLst>
        </c:ser>
        <c:ser>
          <c:idx val="1"/>
          <c:order val="1"/>
          <c:tx>
            <c:strRef>
              <c:f>attels_2018_I!$C$1</c:f>
              <c:strCache>
                <c:ptCount val="1"/>
                <c:pt idx="0">
                  <c:v>Faktiskā izpilde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attels_2018_I!$A$2:$A$6</c:f>
              <c:strCache>
                <c:ptCount val="5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  <c:pt idx="3">
                  <c:v>Primārā veselības aprūpe</c:v>
                </c:pt>
                <c:pt idx="4">
                  <c:v>Sirds un asinsvadu programma</c:v>
                </c:pt>
              </c:strCache>
            </c:strRef>
          </c:cat>
          <c:val>
            <c:numRef>
              <c:f>attels_2018_I!$C$2:$C$6</c:f>
              <c:numCache>
                <c:formatCode>0.0</c:formatCode>
                <c:ptCount val="5"/>
                <c:pt idx="0">
                  <c:v>11.952609000000001</c:v>
                </c:pt>
                <c:pt idx="1">
                  <c:v>10.022474000000001</c:v>
                </c:pt>
                <c:pt idx="2">
                  <c:v>16.956278999999999</c:v>
                </c:pt>
                <c:pt idx="3">
                  <c:v>3.833202</c:v>
                </c:pt>
                <c:pt idx="4">
                  <c:v>1.35582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4-44ED-BD70-53067A38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530815"/>
        <c:axId val="977532895"/>
      </c:barChart>
      <c:catAx>
        <c:axId val="977530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77532895"/>
        <c:crosses val="autoZero"/>
        <c:auto val="1"/>
        <c:lblAlgn val="ctr"/>
        <c:lblOffset val="100"/>
        <c:noMultiLvlLbl val="0"/>
      </c:catAx>
      <c:valAx>
        <c:axId val="97753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7753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0" i="0" baseline="0">
                <a:effectLst/>
              </a:rPr>
              <a:t>Use of the health care system reform deviation funding in the first half of 2018, million euro</a:t>
            </a:r>
            <a:endParaRPr lang="lv-LV" sz="1000">
              <a:effectLst/>
            </a:endParaRPr>
          </a:p>
        </c:rich>
      </c:tx>
      <c:layout>
        <c:manualLayout>
          <c:xMode val="edge"/>
          <c:yMode val="edge"/>
          <c:x val="0.1523531800183532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attels_2018_I!$B$19</c:f>
              <c:strCache>
                <c:ptCount val="1"/>
                <c:pt idx="0">
                  <c:v>Planned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attels_2018_I!$A$20:$A$24</c:f>
              <c:strCache>
                <c:ptCount val="5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  <c:pt idx="3">
                  <c:v>Primary health care</c:v>
                </c:pt>
                <c:pt idx="4">
                  <c:v>Cardiovascular program</c:v>
                </c:pt>
              </c:strCache>
            </c:strRef>
          </c:cat>
          <c:val>
            <c:numRef>
              <c:f>attels_2018_I!$B$20:$B$24</c:f>
              <c:numCache>
                <c:formatCode>0.0</c:formatCode>
                <c:ptCount val="5"/>
                <c:pt idx="0">
                  <c:v>14.948297</c:v>
                </c:pt>
                <c:pt idx="1">
                  <c:v>8.3703704999999999</c:v>
                </c:pt>
                <c:pt idx="2">
                  <c:v>23.036604499999999</c:v>
                </c:pt>
                <c:pt idx="3">
                  <c:v>4.8320179999999997</c:v>
                </c:pt>
                <c:pt idx="4">
                  <c:v>5.5127100000000002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9-49C1-9663-180062D96ED3}"/>
            </c:ext>
          </c:extLst>
        </c:ser>
        <c:ser>
          <c:idx val="1"/>
          <c:order val="1"/>
          <c:tx>
            <c:strRef>
              <c:f>attels_2018_I!$C$19</c:f>
              <c:strCache>
                <c:ptCount val="1"/>
                <c:pt idx="0">
                  <c:v>Actual outcome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attels_2018_I!$A$20:$A$24</c:f>
              <c:strCache>
                <c:ptCount val="5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  <c:pt idx="3">
                  <c:v>Primary health care</c:v>
                </c:pt>
                <c:pt idx="4">
                  <c:v>Cardiovascular program</c:v>
                </c:pt>
              </c:strCache>
            </c:strRef>
          </c:cat>
          <c:val>
            <c:numRef>
              <c:f>attels_2018_I!$C$20:$C$24</c:f>
              <c:numCache>
                <c:formatCode>0.0</c:formatCode>
                <c:ptCount val="5"/>
                <c:pt idx="0">
                  <c:v>11.952609000000001</c:v>
                </c:pt>
                <c:pt idx="1">
                  <c:v>10.022474000000001</c:v>
                </c:pt>
                <c:pt idx="2">
                  <c:v>16.956278999999999</c:v>
                </c:pt>
                <c:pt idx="3">
                  <c:v>3.833202</c:v>
                </c:pt>
                <c:pt idx="4">
                  <c:v>1.35582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9-49C1-9663-180062D96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530815"/>
        <c:axId val="977532895"/>
      </c:barChart>
      <c:catAx>
        <c:axId val="977530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77532895"/>
        <c:crosses val="autoZero"/>
        <c:auto val="1"/>
        <c:lblAlgn val="ctr"/>
        <c:lblOffset val="100"/>
        <c:noMultiLvlLbl val="0"/>
      </c:catAx>
      <c:valAx>
        <c:axId val="97753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7753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9524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171450</xdr:rowOff>
    </xdr:from>
    <xdr:to>
      <xdr:col>8</xdr:col>
      <xdr:colOff>0</xdr:colOff>
      <xdr:row>31</xdr:row>
      <xdr:rowOff>104776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9524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180975</xdr:rowOff>
    </xdr:from>
    <xdr:to>
      <xdr:col>8</xdr:col>
      <xdr:colOff>9524</xdr:colOff>
      <xdr:row>31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="85" zoomScaleNormal="85" workbookViewId="0">
      <selection activeCell="A3" sqref="A3"/>
    </sheetView>
  </sheetViews>
  <sheetFormatPr defaultColWidth="11.42578125" defaultRowHeight="15" x14ac:dyDescent="0.25"/>
  <cols>
    <col min="1" max="1" width="11.42578125" style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1</v>
      </c>
    </row>
    <row r="2" spans="1:9" ht="15.75" x14ac:dyDescent="0.25">
      <c r="A2" s="26" t="s">
        <v>2</v>
      </c>
      <c r="I2" s="29" t="s">
        <v>3</v>
      </c>
    </row>
    <row r="3" spans="1:9" ht="6" customHeight="1" x14ac:dyDescent="0.25"/>
    <row r="4" spans="1:9" x14ac:dyDescent="0.25">
      <c r="A4" s="2"/>
      <c r="B4" s="3"/>
      <c r="C4" s="4" t="s">
        <v>4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5</v>
      </c>
      <c r="D5" s="8"/>
      <c r="E5" s="7" t="s">
        <v>6</v>
      </c>
      <c r="F5" s="8"/>
      <c r="G5" s="7" t="s">
        <v>7</v>
      </c>
      <c r="H5" s="8"/>
      <c r="I5" s="15"/>
    </row>
    <row r="6" spans="1:9" x14ac:dyDescent="0.25">
      <c r="A6" s="13" t="s">
        <v>8</v>
      </c>
      <c r="B6" s="14" t="s">
        <v>9</v>
      </c>
      <c r="C6" s="9" t="s">
        <v>10</v>
      </c>
      <c r="D6" s="10"/>
      <c r="E6" s="9" t="s">
        <v>11</v>
      </c>
      <c r="F6" s="10"/>
      <c r="G6" s="9" t="s">
        <v>12</v>
      </c>
      <c r="H6" s="10"/>
      <c r="I6" s="15" t="s">
        <v>13</v>
      </c>
    </row>
    <row r="7" spans="1:9" x14ac:dyDescent="0.25">
      <c r="A7" s="15"/>
      <c r="B7" s="15"/>
      <c r="C7" s="32" t="s">
        <v>14</v>
      </c>
      <c r="D7" s="32" t="s">
        <v>15</v>
      </c>
      <c r="E7" s="11" t="s">
        <v>14</v>
      </c>
      <c r="F7" s="11" t="s">
        <v>15</v>
      </c>
      <c r="G7" s="11" t="s">
        <v>16</v>
      </c>
      <c r="H7" s="11" t="s">
        <v>15</v>
      </c>
      <c r="I7" s="15"/>
    </row>
    <row r="8" spans="1:9" x14ac:dyDescent="0.25">
      <c r="A8" s="12"/>
      <c r="B8" s="12"/>
      <c r="C8" s="33" t="s">
        <v>17</v>
      </c>
      <c r="D8" s="33" t="s">
        <v>18</v>
      </c>
      <c r="E8" s="12" t="s">
        <v>17</v>
      </c>
      <c r="F8" s="12" t="s">
        <v>18</v>
      </c>
      <c r="G8" s="12" t="s">
        <v>19</v>
      </c>
      <c r="H8" s="12" t="s">
        <v>18</v>
      </c>
      <c r="I8" s="12"/>
    </row>
    <row r="9" spans="1:9" x14ac:dyDescent="0.25">
      <c r="A9" s="19" t="s">
        <v>20</v>
      </c>
      <c r="B9" s="17" t="s">
        <v>21</v>
      </c>
      <c r="C9" s="24">
        <f>C10+C11+C12+C13+C14+C15</f>
        <v>6131131</v>
      </c>
      <c r="D9" s="24">
        <f>D10+D11+D12+D13+D14+D15</f>
        <v>6080017</v>
      </c>
      <c r="E9" s="24">
        <f>E10+E11+E12+E13+E14+E15</f>
        <v>30729.5</v>
      </c>
      <c r="F9" s="24">
        <f>F10+F11+F12+F13+F14+F15</f>
        <v>30382</v>
      </c>
      <c r="G9" s="27" t="s">
        <v>22</v>
      </c>
      <c r="H9" s="27" t="s">
        <v>22</v>
      </c>
      <c r="I9" s="17" t="s">
        <v>23</v>
      </c>
    </row>
    <row r="10" spans="1:9" x14ac:dyDescent="0.25">
      <c r="A10" s="15"/>
      <c r="B10" s="16" t="s">
        <v>24</v>
      </c>
      <c r="C10" s="23">
        <v>749753</v>
      </c>
      <c r="D10" s="23">
        <v>297592</v>
      </c>
      <c r="E10" s="23">
        <f>22000/2</f>
        <v>11000</v>
      </c>
      <c r="F10" s="23">
        <v>8126</v>
      </c>
      <c r="G10" s="28" t="s">
        <v>22</v>
      </c>
      <c r="H10" s="28" t="s">
        <v>22</v>
      </c>
      <c r="I10" s="15" t="s">
        <v>25</v>
      </c>
    </row>
    <row r="11" spans="1:9" x14ac:dyDescent="0.25">
      <c r="A11" s="15"/>
      <c r="B11" s="15" t="s">
        <v>26</v>
      </c>
      <c r="C11" s="23">
        <v>325139</v>
      </c>
      <c r="D11" s="23">
        <v>301985</v>
      </c>
      <c r="E11" s="23">
        <f>11000/2</f>
        <v>5500</v>
      </c>
      <c r="F11" s="23">
        <v>7976</v>
      </c>
      <c r="G11" s="28" t="s">
        <v>22</v>
      </c>
      <c r="H11" s="28" t="s">
        <v>22</v>
      </c>
      <c r="I11" s="15" t="s">
        <v>27</v>
      </c>
    </row>
    <row r="12" spans="1:9" x14ac:dyDescent="0.25">
      <c r="A12" s="15"/>
      <c r="B12" s="15" t="s">
        <v>28</v>
      </c>
      <c r="C12" s="23">
        <v>1166283</v>
      </c>
      <c r="D12" s="23">
        <v>1561457</v>
      </c>
      <c r="E12" s="23">
        <f>14659/2</f>
        <v>7329.5</v>
      </c>
      <c r="F12" s="23">
        <v>7267</v>
      </c>
      <c r="G12" s="28" t="s">
        <v>22</v>
      </c>
      <c r="H12" s="28" t="s">
        <v>22</v>
      </c>
      <c r="I12" s="15" t="s">
        <v>29</v>
      </c>
    </row>
    <row r="13" spans="1:9" x14ac:dyDescent="0.25">
      <c r="A13" s="15"/>
      <c r="B13" s="15" t="s">
        <v>30</v>
      </c>
      <c r="C13" s="23">
        <v>589029</v>
      </c>
      <c r="D13" s="23">
        <v>518050</v>
      </c>
      <c r="E13" s="23">
        <f>3306/2</f>
        <v>1653</v>
      </c>
      <c r="F13" s="23">
        <v>1363</v>
      </c>
      <c r="G13" s="28" t="s">
        <v>22</v>
      </c>
      <c r="H13" s="28" t="s">
        <v>22</v>
      </c>
      <c r="I13" s="15" t="s">
        <v>31</v>
      </c>
    </row>
    <row r="14" spans="1:9" x14ac:dyDescent="0.25">
      <c r="A14" s="15"/>
      <c r="B14" s="15" t="s">
        <v>32</v>
      </c>
      <c r="C14" s="23">
        <v>1231529</v>
      </c>
      <c r="D14" s="23">
        <v>1039822</v>
      </c>
      <c r="E14" s="23">
        <f>6000/2</f>
        <v>3000</v>
      </c>
      <c r="F14" s="23">
        <v>2533</v>
      </c>
      <c r="G14" s="28" t="s">
        <v>22</v>
      </c>
      <c r="H14" s="28" t="s">
        <v>22</v>
      </c>
      <c r="I14" s="15" t="s">
        <v>33</v>
      </c>
    </row>
    <row r="15" spans="1:9" x14ac:dyDescent="0.25">
      <c r="A15" s="15"/>
      <c r="B15" s="15" t="s">
        <v>34</v>
      </c>
      <c r="C15" s="23">
        <v>2069398</v>
      </c>
      <c r="D15" s="23">
        <v>2361111</v>
      </c>
      <c r="E15" s="23">
        <f>4494/2</f>
        <v>2247</v>
      </c>
      <c r="F15" s="23">
        <v>3117</v>
      </c>
      <c r="G15" s="28" t="s">
        <v>22</v>
      </c>
      <c r="H15" s="28" t="s">
        <v>22</v>
      </c>
      <c r="I15" s="15" t="s">
        <v>35</v>
      </c>
    </row>
    <row r="16" spans="1:9" x14ac:dyDescent="0.25">
      <c r="A16" s="20" t="s">
        <v>36</v>
      </c>
      <c r="B16" s="18" t="s">
        <v>37</v>
      </c>
      <c r="C16" s="24">
        <f>C17</f>
        <v>2731441.5</v>
      </c>
      <c r="D16" s="24">
        <f>D17</f>
        <v>1720000</v>
      </c>
      <c r="E16" s="24">
        <f>E17</f>
        <v>101.5</v>
      </c>
      <c r="F16" s="24">
        <f>F17</f>
        <v>140</v>
      </c>
      <c r="G16" s="27" t="s">
        <v>22</v>
      </c>
      <c r="H16" s="27" t="s">
        <v>22</v>
      </c>
      <c r="I16" s="21" t="s">
        <v>38</v>
      </c>
    </row>
    <row r="17" spans="1:9" x14ac:dyDescent="0.25">
      <c r="A17" s="15"/>
      <c r="B17" s="15" t="s">
        <v>34</v>
      </c>
      <c r="C17" s="23">
        <f>5462883/2</f>
        <v>2731441.5</v>
      </c>
      <c r="D17" s="23">
        <v>1720000</v>
      </c>
      <c r="E17" s="23">
        <f>203/2</f>
        <v>101.5</v>
      </c>
      <c r="F17" s="23">
        <v>140</v>
      </c>
      <c r="G17" s="28" t="s">
        <v>22</v>
      </c>
      <c r="H17" s="28" t="s">
        <v>22</v>
      </c>
      <c r="I17" s="15" t="s">
        <v>35</v>
      </c>
    </row>
    <row r="18" spans="1:9" x14ac:dyDescent="0.25">
      <c r="A18" s="20" t="s">
        <v>39</v>
      </c>
      <c r="B18" s="18" t="s">
        <v>40</v>
      </c>
      <c r="C18" s="24">
        <f>C19+C20+C21+C22</f>
        <v>8299653.5</v>
      </c>
      <c r="D18" s="24">
        <f>D19+D20+D21+D22</f>
        <v>9289618</v>
      </c>
      <c r="E18" s="24">
        <f>E19+E20+E21+E22</f>
        <v>365411</v>
      </c>
      <c r="F18" s="27" t="s">
        <v>22</v>
      </c>
      <c r="G18" s="24">
        <f>AVERAGE(G19:G22)</f>
        <v>262.01749999999998</v>
      </c>
      <c r="H18" s="24">
        <f>AVERAGE(H19:H22)</f>
        <v>206.75</v>
      </c>
      <c r="I18" s="21" t="s">
        <v>41</v>
      </c>
    </row>
    <row r="19" spans="1:9" x14ac:dyDescent="0.25">
      <c r="A19" s="15"/>
      <c r="B19" s="15" t="s">
        <v>26</v>
      </c>
      <c r="C19" s="23">
        <f>3386187/2</f>
        <v>1693093.5</v>
      </c>
      <c r="D19" s="23">
        <v>1826575</v>
      </c>
      <c r="E19" s="23">
        <f>270246/2</f>
        <v>135123</v>
      </c>
      <c r="F19" s="28" t="s">
        <v>22</v>
      </c>
      <c r="G19" s="23">
        <v>100.48</v>
      </c>
      <c r="H19" s="23">
        <v>76.099999999999994</v>
      </c>
      <c r="I19" s="15" t="s">
        <v>27</v>
      </c>
    </row>
    <row r="20" spans="1:9" x14ac:dyDescent="0.25">
      <c r="A20" s="15"/>
      <c r="B20" s="15" t="s">
        <v>42</v>
      </c>
      <c r="C20" s="23">
        <f>7541491/2</f>
        <v>3770745.5</v>
      </c>
      <c r="D20" s="23">
        <v>4321566</v>
      </c>
      <c r="E20" s="23">
        <f>328076/2</f>
        <v>164038</v>
      </c>
      <c r="F20" s="28" t="s">
        <v>22</v>
      </c>
      <c r="G20" s="23">
        <v>40.39</v>
      </c>
      <c r="H20" s="23">
        <v>35.4</v>
      </c>
      <c r="I20" s="15" t="s">
        <v>43</v>
      </c>
    </row>
    <row r="21" spans="1:9" x14ac:dyDescent="0.25">
      <c r="A21" s="15"/>
      <c r="B21" s="15" t="s">
        <v>44</v>
      </c>
      <c r="C21" s="23">
        <f>5163159/2</f>
        <v>2581579.5</v>
      </c>
      <c r="D21" s="23">
        <v>2861178</v>
      </c>
      <c r="E21" s="23">
        <f>62472/2</f>
        <v>31236</v>
      </c>
      <c r="F21" s="28" t="s">
        <v>22</v>
      </c>
      <c r="G21" s="23">
        <v>407</v>
      </c>
      <c r="H21" s="23">
        <v>246.5</v>
      </c>
      <c r="I21" s="15" t="s">
        <v>45</v>
      </c>
    </row>
    <row r="22" spans="1:9" x14ac:dyDescent="0.25">
      <c r="A22" s="15"/>
      <c r="B22" s="15" t="s">
        <v>46</v>
      </c>
      <c r="C22" s="23">
        <f>508470/2</f>
        <v>254235</v>
      </c>
      <c r="D22" s="23">
        <v>280299</v>
      </c>
      <c r="E22" s="23">
        <f>70028/2</f>
        <v>35014</v>
      </c>
      <c r="F22" s="28" t="s">
        <v>22</v>
      </c>
      <c r="G22" s="23">
        <v>500.2</v>
      </c>
      <c r="H22" s="23">
        <v>469</v>
      </c>
      <c r="I22" s="12" t="s">
        <v>47</v>
      </c>
    </row>
    <row r="23" spans="1:9" x14ac:dyDescent="0.25">
      <c r="A23" s="22" t="s">
        <v>48</v>
      </c>
      <c r="B23" s="22" t="s">
        <v>49</v>
      </c>
      <c r="C23" s="25">
        <f>C9+C16+C18</f>
        <v>17162226</v>
      </c>
      <c r="D23" s="25">
        <f>D9+D16+D18</f>
        <v>17089635</v>
      </c>
      <c r="E23" s="25">
        <f>E9+E16+E18</f>
        <v>396242</v>
      </c>
      <c r="F23" s="25">
        <f>F9+F16</f>
        <v>30522</v>
      </c>
      <c r="G23" s="25">
        <f>G18</f>
        <v>262.01749999999998</v>
      </c>
      <c r="H23" s="25">
        <f>H18</f>
        <v>206.75</v>
      </c>
      <c r="I23" s="22" t="s">
        <v>50</v>
      </c>
    </row>
    <row r="24" spans="1:9" ht="26.25" x14ac:dyDescent="0.25">
      <c r="A24" s="30" t="s">
        <v>51</v>
      </c>
      <c r="I24" s="31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A3" sqref="A3"/>
    </sheetView>
  </sheetViews>
  <sheetFormatPr defaultColWidth="11.42578125" defaultRowHeight="15" x14ac:dyDescent="0.25"/>
  <cols>
    <col min="1" max="1" width="11.42578125" style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53</v>
      </c>
    </row>
    <row r="2" spans="1:9" ht="15.75" x14ac:dyDescent="0.25">
      <c r="A2" s="26" t="s">
        <v>2</v>
      </c>
      <c r="I2" s="29" t="s">
        <v>54</v>
      </c>
    </row>
    <row r="3" spans="1:9" ht="6" customHeight="1" x14ac:dyDescent="0.25"/>
    <row r="4" spans="1:9" x14ac:dyDescent="0.25">
      <c r="A4" s="2"/>
      <c r="B4" s="3"/>
      <c r="C4" s="35">
        <v>2017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5</v>
      </c>
      <c r="D5" s="8"/>
      <c r="E5" s="7" t="s">
        <v>6</v>
      </c>
      <c r="F5" s="8"/>
      <c r="G5" s="7" t="s">
        <v>7</v>
      </c>
      <c r="H5" s="8"/>
      <c r="I5" s="15"/>
    </row>
    <row r="6" spans="1:9" x14ac:dyDescent="0.25">
      <c r="A6" s="13" t="s">
        <v>8</v>
      </c>
      <c r="B6" s="14" t="s">
        <v>9</v>
      </c>
      <c r="C6" s="9" t="s">
        <v>10</v>
      </c>
      <c r="D6" s="10"/>
      <c r="E6" s="9" t="s">
        <v>11</v>
      </c>
      <c r="F6" s="10"/>
      <c r="G6" s="9" t="s">
        <v>12</v>
      </c>
      <c r="H6" s="10"/>
      <c r="I6" s="15" t="s">
        <v>13</v>
      </c>
    </row>
    <row r="7" spans="1:9" x14ac:dyDescent="0.25">
      <c r="A7" s="15"/>
      <c r="B7" s="15"/>
      <c r="C7" s="11" t="s">
        <v>14</v>
      </c>
      <c r="D7" s="11" t="s">
        <v>15</v>
      </c>
      <c r="E7" s="11" t="s">
        <v>14</v>
      </c>
      <c r="F7" s="11" t="s">
        <v>15</v>
      </c>
      <c r="G7" s="11" t="s">
        <v>16</v>
      </c>
      <c r="H7" s="11" t="s">
        <v>15</v>
      </c>
      <c r="I7" s="15"/>
    </row>
    <row r="8" spans="1:9" x14ac:dyDescent="0.25">
      <c r="A8" s="12"/>
      <c r="B8" s="12"/>
      <c r="C8" s="12" t="s">
        <v>17</v>
      </c>
      <c r="D8" s="12" t="s">
        <v>18</v>
      </c>
      <c r="E8" s="12" t="s">
        <v>17</v>
      </c>
      <c r="F8" s="12" t="s">
        <v>18</v>
      </c>
      <c r="G8" s="12" t="s">
        <v>19</v>
      </c>
      <c r="H8" s="12" t="s">
        <v>18</v>
      </c>
      <c r="I8" s="12"/>
    </row>
    <row r="9" spans="1:9" x14ac:dyDescent="0.25">
      <c r="A9" s="19" t="s">
        <v>20</v>
      </c>
      <c r="B9" s="17" t="s">
        <v>21</v>
      </c>
      <c r="C9" s="24">
        <f>C10+C11+C12+C13+C14+C15</f>
        <v>12262260</v>
      </c>
      <c r="D9" s="24">
        <f>D10+D11+D12+D13+D14+D15</f>
        <v>12005178</v>
      </c>
      <c r="E9" s="24">
        <f>E10+E11+E12+E13+E14+E15</f>
        <v>61459</v>
      </c>
      <c r="F9" s="24">
        <f>F10+F11+F12+F13+F14+F15</f>
        <v>88698</v>
      </c>
      <c r="G9" s="27" t="s">
        <v>22</v>
      </c>
      <c r="H9" s="27" t="s">
        <v>22</v>
      </c>
      <c r="I9" s="17" t="s">
        <v>23</v>
      </c>
    </row>
    <row r="10" spans="1:9" x14ac:dyDescent="0.25">
      <c r="A10" s="15"/>
      <c r="B10" s="16" t="s">
        <v>24</v>
      </c>
      <c r="C10" s="23">
        <v>659885</v>
      </c>
      <c r="D10" s="23">
        <v>637850</v>
      </c>
      <c r="E10" s="23">
        <v>22000</v>
      </c>
      <c r="F10" s="23">
        <v>22422</v>
      </c>
      <c r="G10" s="28" t="s">
        <v>22</v>
      </c>
      <c r="H10" s="28" t="s">
        <v>22</v>
      </c>
      <c r="I10" s="15" t="s">
        <v>25</v>
      </c>
    </row>
    <row r="11" spans="1:9" x14ac:dyDescent="0.25">
      <c r="A11" s="15"/>
      <c r="B11" s="15" t="s">
        <v>26</v>
      </c>
      <c r="C11" s="23">
        <v>650278</v>
      </c>
      <c r="D11" s="23">
        <v>658720</v>
      </c>
      <c r="E11" s="23">
        <v>11000</v>
      </c>
      <c r="F11" s="23">
        <v>33683</v>
      </c>
      <c r="G11" s="28" t="s">
        <v>22</v>
      </c>
      <c r="H11" s="28" t="s">
        <v>22</v>
      </c>
      <c r="I11" s="15" t="s">
        <v>27</v>
      </c>
    </row>
    <row r="12" spans="1:9" x14ac:dyDescent="0.25">
      <c r="A12" s="15"/>
      <c r="B12" s="15" t="s">
        <v>28</v>
      </c>
      <c r="C12" s="23">
        <v>2332565</v>
      </c>
      <c r="D12" s="23">
        <v>2188921</v>
      </c>
      <c r="E12" s="23">
        <v>14659</v>
      </c>
      <c r="F12" s="23">
        <v>17880</v>
      </c>
      <c r="G12" s="28" t="s">
        <v>22</v>
      </c>
      <c r="H12" s="28" t="s">
        <v>22</v>
      </c>
      <c r="I12" s="15" t="s">
        <v>29</v>
      </c>
    </row>
    <row r="13" spans="1:9" x14ac:dyDescent="0.25">
      <c r="A13" s="15"/>
      <c r="B13" s="15" t="s">
        <v>30</v>
      </c>
      <c r="C13" s="23">
        <v>1178058</v>
      </c>
      <c r="D13" s="23">
        <v>1164114</v>
      </c>
      <c r="E13" s="23">
        <v>3306</v>
      </c>
      <c r="F13" s="23">
        <v>1996</v>
      </c>
      <c r="G13" s="28" t="s">
        <v>22</v>
      </c>
      <c r="H13" s="28" t="s">
        <v>22</v>
      </c>
      <c r="I13" s="15" t="s">
        <v>31</v>
      </c>
    </row>
    <row r="14" spans="1:9" x14ac:dyDescent="0.25">
      <c r="A14" s="15"/>
      <c r="B14" s="15" t="s">
        <v>32</v>
      </c>
      <c r="C14" s="23">
        <v>2463058</v>
      </c>
      <c r="D14" s="23">
        <v>2312402</v>
      </c>
      <c r="E14" s="23">
        <v>6000</v>
      </c>
      <c r="F14" s="23">
        <v>5633</v>
      </c>
      <c r="G14" s="28" t="s">
        <v>22</v>
      </c>
      <c r="H14" s="28" t="s">
        <v>22</v>
      </c>
      <c r="I14" s="15" t="s">
        <v>33</v>
      </c>
    </row>
    <row r="15" spans="1:9" x14ac:dyDescent="0.25">
      <c r="A15" s="15"/>
      <c r="B15" s="15" t="s">
        <v>34</v>
      </c>
      <c r="C15" s="23">
        <v>4978416</v>
      </c>
      <c r="D15" s="23">
        <v>5043171</v>
      </c>
      <c r="E15" s="23">
        <v>4494</v>
      </c>
      <c r="F15" s="23">
        <v>7084</v>
      </c>
      <c r="G15" s="28" t="s">
        <v>22</v>
      </c>
      <c r="H15" s="28" t="s">
        <v>22</v>
      </c>
      <c r="I15" s="15" t="s">
        <v>35</v>
      </c>
    </row>
    <row r="16" spans="1:9" x14ac:dyDescent="0.25">
      <c r="A16" s="20" t="s">
        <v>36</v>
      </c>
      <c r="B16" s="18" t="s">
        <v>37</v>
      </c>
      <c r="C16" s="24">
        <f>C17</f>
        <v>5462883</v>
      </c>
      <c r="D16" s="24">
        <f>D17</f>
        <v>5462883</v>
      </c>
      <c r="E16" s="24">
        <f>E17</f>
        <v>203</v>
      </c>
      <c r="F16" s="24">
        <f>F17</f>
        <v>400</v>
      </c>
      <c r="G16" s="27" t="s">
        <v>22</v>
      </c>
      <c r="H16" s="27" t="s">
        <v>22</v>
      </c>
      <c r="I16" s="21" t="s">
        <v>38</v>
      </c>
    </row>
    <row r="17" spans="1:9" x14ac:dyDescent="0.25">
      <c r="A17" s="15"/>
      <c r="B17" s="15" t="s">
        <v>34</v>
      </c>
      <c r="C17" s="23">
        <v>5462883</v>
      </c>
      <c r="D17" s="23">
        <v>5462883</v>
      </c>
      <c r="E17" s="23">
        <v>203</v>
      </c>
      <c r="F17" s="23">
        <v>400</v>
      </c>
      <c r="G17" s="28" t="s">
        <v>22</v>
      </c>
      <c r="H17" s="28" t="s">
        <v>22</v>
      </c>
      <c r="I17" s="15" t="s">
        <v>35</v>
      </c>
    </row>
    <row r="18" spans="1:9" x14ac:dyDescent="0.25">
      <c r="A18" s="20" t="s">
        <v>39</v>
      </c>
      <c r="B18" s="18" t="s">
        <v>40</v>
      </c>
      <c r="C18" s="24">
        <f>C19+C20+C21+C22</f>
        <v>16599307</v>
      </c>
      <c r="D18" s="24">
        <f>D19+D20+D21+D22</f>
        <v>16563985</v>
      </c>
      <c r="E18" s="24">
        <f>E19+E20+E21+E22</f>
        <v>730822</v>
      </c>
      <c r="F18" s="27">
        <f>F19+F20+F21+F22</f>
        <v>534080</v>
      </c>
      <c r="G18" s="24">
        <f>AVERAGE(G19:G22)</f>
        <v>262.01749999999998</v>
      </c>
      <c r="H18" s="24">
        <f>AVERAGE(H19:H22)</f>
        <v>172.3075</v>
      </c>
      <c r="I18" s="21" t="s">
        <v>41</v>
      </c>
    </row>
    <row r="19" spans="1:9" x14ac:dyDescent="0.25">
      <c r="A19" s="15"/>
      <c r="B19" s="15" t="s">
        <v>26</v>
      </c>
      <c r="C19" s="23">
        <v>3386187</v>
      </c>
      <c r="D19" s="23">
        <v>3288372</v>
      </c>
      <c r="E19" s="23">
        <v>270246</v>
      </c>
      <c r="F19" s="28">
        <v>177317</v>
      </c>
      <c r="G19" s="23">
        <v>100.48</v>
      </c>
      <c r="H19" s="23">
        <v>58.23</v>
      </c>
      <c r="I19" s="15" t="s">
        <v>27</v>
      </c>
    </row>
    <row r="20" spans="1:9" x14ac:dyDescent="0.25">
      <c r="A20" s="15"/>
      <c r="B20" s="15" t="s">
        <v>42</v>
      </c>
      <c r="C20" s="23">
        <v>7541491</v>
      </c>
      <c r="D20" s="23">
        <v>7557039</v>
      </c>
      <c r="E20" s="23">
        <v>328076</v>
      </c>
      <c r="F20" s="28">
        <v>300856</v>
      </c>
      <c r="G20" s="23">
        <v>40.39</v>
      </c>
      <c r="H20" s="23">
        <v>27.1</v>
      </c>
      <c r="I20" s="15" t="s">
        <v>43</v>
      </c>
    </row>
    <row r="21" spans="1:9" x14ac:dyDescent="0.25">
      <c r="A21" s="15"/>
      <c r="B21" s="15" t="s">
        <v>44</v>
      </c>
      <c r="C21" s="23">
        <v>5163159</v>
      </c>
      <c r="D21" s="23">
        <v>5177349</v>
      </c>
      <c r="E21" s="23">
        <v>62472</v>
      </c>
      <c r="F21" s="28">
        <v>27551</v>
      </c>
      <c r="G21" s="23">
        <v>407</v>
      </c>
      <c r="H21" s="23">
        <v>132.1</v>
      </c>
      <c r="I21" s="15" t="s">
        <v>45</v>
      </c>
    </row>
    <row r="22" spans="1:9" x14ac:dyDescent="0.25">
      <c r="A22" s="15"/>
      <c r="B22" s="15" t="s">
        <v>46</v>
      </c>
      <c r="C22" s="23">
        <v>508470</v>
      </c>
      <c r="D22" s="23">
        <v>541225</v>
      </c>
      <c r="E22" s="23">
        <v>70028</v>
      </c>
      <c r="F22" s="28">
        <v>28356</v>
      </c>
      <c r="G22" s="23">
        <v>500.2</v>
      </c>
      <c r="H22" s="23">
        <v>471.8</v>
      </c>
      <c r="I22" s="12" t="s">
        <v>47</v>
      </c>
    </row>
    <row r="23" spans="1:9" x14ac:dyDescent="0.25">
      <c r="A23" s="22" t="s">
        <v>48</v>
      </c>
      <c r="B23" s="22" t="s">
        <v>49</v>
      </c>
      <c r="C23" s="25">
        <f>C9+C16+C18</f>
        <v>34324450</v>
      </c>
      <c r="D23" s="25">
        <f>D9+D16+D18</f>
        <v>34032046</v>
      </c>
      <c r="E23" s="25">
        <f>E9+E16+E18</f>
        <v>792484</v>
      </c>
      <c r="F23" s="25">
        <f>F9+F16+F18</f>
        <v>623178</v>
      </c>
      <c r="G23" s="25">
        <f>G18</f>
        <v>262.01749999999998</v>
      </c>
      <c r="H23" s="25">
        <f>H18</f>
        <v>172.3075</v>
      </c>
      <c r="I23" s="22" t="s">
        <v>50</v>
      </c>
    </row>
    <row r="24" spans="1:9" ht="26.25" x14ac:dyDescent="0.25">
      <c r="A24" s="30" t="s">
        <v>51</v>
      </c>
      <c r="I24" s="31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15" zoomScaleNormal="115" workbookViewId="0"/>
  </sheetViews>
  <sheetFormatPr defaultRowHeight="15" x14ac:dyDescent="0.25"/>
  <cols>
    <col min="1" max="16384" width="9.140625" style="36"/>
  </cols>
  <sheetData>
    <row r="1" spans="1:3" x14ac:dyDescent="0.25">
      <c r="A1" s="37"/>
      <c r="B1" s="37" t="s">
        <v>14</v>
      </c>
      <c r="C1" s="37" t="s">
        <v>15</v>
      </c>
    </row>
    <row r="2" spans="1:3" x14ac:dyDescent="0.25">
      <c r="A2" s="39" t="s">
        <v>21</v>
      </c>
      <c r="B2" s="41">
        <f>12262260/1000000</f>
        <v>12.262259999999999</v>
      </c>
      <c r="C2" s="41">
        <f>12005178/1000000</f>
        <v>12.005178000000001</v>
      </c>
    </row>
    <row r="3" spans="1:3" x14ac:dyDescent="0.25">
      <c r="A3" s="37" t="s">
        <v>37</v>
      </c>
      <c r="B3" s="41">
        <f>5462883/1000000</f>
        <v>5.4628829999999997</v>
      </c>
      <c r="C3" s="41">
        <f>5462883/1000000</f>
        <v>5.4628829999999997</v>
      </c>
    </row>
    <row r="4" spans="1:3" x14ac:dyDescent="0.25">
      <c r="A4" s="37" t="s">
        <v>40</v>
      </c>
      <c r="B4" s="41">
        <f>16599307/1000000</f>
        <v>16.599307</v>
      </c>
      <c r="C4" s="41">
        <f>16563985/1000000</f>
        <v>16.563984999999999</v>
      </c>
    </row>
    <row r="5" spans="1:3" x14ac:dyDescent="0.25">
      <c r="A5" s="37"/>
      <c r="B5" s="37"/>
      <c r="C5" s="37"/>
    </row>
    <row r="6" spans="1:3" x14ac:dyDescent="0.25">
      <c r="A6" s="37"/>
      <c r="B6" s="37"/>
      <c r="C6" s="37"/>
    </row>
    <row r="19" spans="1:3" x14ac:dyDescent="0.25">
      <c r="A19" s="37"/>
      <c r="B19" s="37" t="s">
        <v>17</v>
      </c>
      <c r="C19" s="37" t="s">
        <v>18</v>
      </c>
    </row>
    <row r="20" spans="1:3" x14ac:dyDescent="0.25">
      <c r="A20" s="39" t="s">
        <v>23</v>
      </c>
      <c r="B20" s="41">
        <f>12262260/1000000</f>
        <v>12.262259999999999</v>
      </c>
      <c r="C20" s="41">
        <f>12005178/1000000</f>
        <v>12.005178000000001</v>
      </c>
    </row>
    <row r="21" spans="1:3" x14ac:dyDescent="0.25">
      <c r="A21" s="37" t="s">
        <v>38</v>
      </c>
      <c r="B21" s="41">
        <f>5462883/1000000</f>
        <v>5.4628829999999997</v>
      </c>
      <c r="C21" s="41">
        <f>5462883/1000000</f>
        <v>5.4628829999999997</v>
      </c>
    </row>
    <row r="22" spans="1:3" x14ac:dyDescent="0.25">
      <c r="A22" s="37" t="s">
        <v>41</v>
      </c>
      <c r="B22" s="41">
        <f>16599307/1000000</f>
        <v>16.599307</v>
      </c>
      <c r="C22" s="41">
        <f>16563985/1000000</f>
        <v>16.563984999999999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="70" zoomScaleNormal="70" workbookViewId="0">
      <selection activeCell="A3" sqref="A3"/>
    </sheetView>
  </sheetViews>
  <sheetFormatPr defaultColWidth="11.42578125" defaultRowHeight="15" x14ac:dyDescent="0.25"/>
  <cols>
    <col min="1" max="1" width="13.42578125" style="1" customWidth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1</v>
      </c>
    </row>
    <row r="2" spans="1:9" ht="15.75" x14ac:dyDescent="0.25">
      <c r="A2" s="26" t="s">
        <v>2</v>
      </c>
      <c r="I2" s="29" t="s">
        <v>3</v>
      </c>
    </row>
    <row r="3" spans="1:9" ht="6" customHeight="1" x14ac:dyDescent="0.25"/>
    <row r="4" spans="1:9" x14ac:dyDescent="0.25">
      <c r="A4" s="2"/>
      <c r="B4" s="3"/>
      <c r="C4" s="4" t="s">
        <v>55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5</v>
      </c>
      <c r="D5" s="8"/>
      <c r="E5" s="7" t="s">
        <v>6</v>
      </c>
      <c r="F5" s="8"/>
      <c r="G5" s="7" t="s">
        <v>7</v>
      </c>
      <c r="H5" s="8"/>
      <c r="I5" s="15"/>
    </row>
    <row r="6" spans="1:9" x14ac:dyDescent="0.25">
      <c r="A6" s="13" t="s">
        <v>8</v>
      </c>
      <c r="B6" s="14" t="s">
        <v>9</v>
      </c>
      <c r="C6" s="9" t="s">
        <v>10</v>
      </c>
      <c r="D6" s="10"/>
      <c r="E6" s="9" t="s">
        <v>11</v>
      </c>
      <c r="F6" s="10"/>
      <c r="G6" s="9" t="s">
        <v>12</v>
      </c>
      <c r="H6" s="10"/>
      <c r="I6" s="15" t="s">
        <v>13</v>
      </c>
    </row>
    <row r="7" spans="1:9" x14ac:dyDescent="0.25">
      <c r="A7" s="15"/>
      <c r="B7" s="15"/>
      <c r="C7" s="32" t="s">
        <v>14</v>
      </c>
      <c r="D7" s="32" t="s">
        <v>15</v>
      </c>
      <c r="E7" s="11" t="s">
        <v>14</v>
      </c>
      <c r="F7" s="11" t="s">
        <v>15</v>
      </c>
      <c r="G7" s="11" t="s">
        <v>56</v>
      </c>
      <c r="H7" s="11" t="s">
        <v>15</v>
      </c>
      <c r="I7" s="15"/>
    </row>
    <row r="8" spans="1:9" x14ac:dyDescent="0.25">
      <c r="A8" s="12"/>
      <c r="B8" s="12"/>
      <c r="C8" s="33" t="s">
        <v>17</v>
      </c>
      <c r="D8" s="33" t="s">
        <v>18</v>
      </c>
      <c r="E8" s="12" t="s">
        <v>17</v>
      </c>
      <c r="F8" s="12" t="s">
        <v>18</v>
      </c>
      <c r="G8" s="12" t="s">
        <v>57</v>
      </c>
      <c r="H8" s="12" t="s">
        <v>18</v>
      </c>
      <c r="I8" s="12"/>
    </row>
    <row r="9" spans="1:9" x14ac:dyDescent="0.25">
      <c r="A9" s="19" t="s">
        <v>20</v>
      </c>
      <c r="B9" s="17" t="s">
        <v>21</v>
      </c>
      <c r="C9" s="24">
        <f>SUM(C10:C19)</f>
        <v>14948297</v>
      </c>
      <c r="D9" s="24">
        <f>SUM(D10:D19)</f>
        <v>11952609</v>
      </c>
      <c r="E9" s="24">
        <f>SUM(E10:E19)</f>
        <v>31875.5</v>
      </c>
      <c r="F9" s="24">
        <f t="shared" ref="F9" si="0">SUM(F10:F19)</f>
        <v>68592</v>
      </c>
      <c r="G9" s="27" t="s">
        <v>22</v>
      </c>
      <c r="H9" s="27" t="s">
        <v>22</v>
      </c>
      <c r="I9" s="17" t="s">
        <v>23</v>
      </c>
    </row>
    <row r="10" spans="1:9" x14ac:dyDescent="0.25">
      <c r="A10" s="15"/>
      <c r="B10" s="16" t="s">
        <v>24</v>
      </c>
      <c r="C10" s="23">
        <f>1499520/2</f>
        <v>749760</v>
      </c>
      <c r="D10" s="23">
        <v>590397</v>
      </c>
      <c r="E10" s="23">
        <f>22000/2</f>
        <v>11000</v>
      </c>
      <c r="F10" s="23">
        <v>21503</v>
      </c>
      <c r="G10" s="28" t="s">
        <v>22</v>
      </c>
      <c r="H10" s="28" t="s">
        <v>22</v>
      </c>
      <c r="I10" s="15" t="s">
        <v>25</v>
      </c>
    </row>
    <row r="11" spans="1:9" x14ac:dyDescent="0.25">
      <c r="A11" s="15"/>
      <c r="B11" s="15" t="s">
        <v>26</v>
      </c>
      <c r="C11" s="23">
        <f>650320/2</f>
        <v>325160</v>
      </c>
      <c r="D11" s="23">
        <v>435944</v>
      </c>
      <c r="E11" s="23">
        <f>11000/2</f>
        <v>5500</v>
      </c>
      <c r="F11" s="23">
        <v>21538</v>
      </c>
      <c r="G11" s="28" t="s">
        <v>22</v>
      </c>
      <c r="H11" s="28" t="s">
        <v>22</v>
      </c>
      <c r="I11" s="15" t="s">
        <v>27</v>
      </c>
    </row>
    <row r="12" spans="1:9" x14ac:dyDescent="0.25">
      <c r="A12" s="15"/>
      <c r="B12" s="15" t="s">
        <v>28</v>
      </c>
      <c r="C12" s="23">
        <f>2332540/2</f>
        <v>1166270</v>
      </c>
      <c r="D12" s="23">
        <v>1528298</v>
      </c>
      <c r="E12" s="23">
        <f>14659/2</f>
        <v>7329.5</v>
      </c>
      <c r="F12" s="23">
        <v>14201</v>
      </c>
      <c r="G12" s="28" t="s">
        <v>22</v>
      </c>
      <c r="H12" s="28" t="s">
        <v>22</v>
      </c>
      <c r="I12" s="15" t="s">
        <v>29</v>
      </c>
    </row>
    <row r="13" spans="1:9" x14ac:dyDescent="0.25">
      <c r="A13" s="15"/>
      <c r="B13" s="15" t="s">
        <v>30</v>
      </c>
      <c r="C13" s="23">
        <f>1177895/2</f>
        <v>588947.5</v>
      </c>
      <c r="D13" s="23">
        <v>588937</v>
      </c>
      <c r="E13" s="23">
        <f>3306/2</f>
        <v>1653</v>
      </c>
      <c r="F13" s="23">
        <v>1082</v>
      </c>
      <c r="G13" s="28" t="s">
        <v>22</v>
      </c>
      <c r="H13" s="28" t="s">
        <v>22</v>
      </c>
      <c r="I13" s="15" t="s">
        <v>31</v>
      </c>
    </row>
    <row r="14" spans="1:9" x14ac:dyDescent="0.25">
      <c r="A14" s="15"/>
      <c r="B14" s="15" t="s">
        <v>32</v>
      </c>
      <c r="C14" s="23">
        <f>2462176/2</f>
        <v>1231088</v>
      </c>
      <c r="D14" s="23">
        <v>1301727</v>
      </c>
      <c r="E14" s="23">
        <f>5998/2</f>
        <v>2999</v>
      </c>
      <c r="F14" s="23">
        <v>3171</v>
      </c>
      <c r="G14" s="28" t="s">
        <v>22</v>
      </c>
      <c r="H14" s="28" t="s">
        <v>22</v>
      </c>
      <c r="I14" s="15" t="s">
        <v>33</v>
      </c>
    </row>
    <row r="15" spans="1:9" x14ac:dyDescent="0.25">
      <c r="A15" s="15"/>
      <c r="B15" s="15" t="s">
        <v>34</v>
      </c>
      <c r="C15" s="23">
        <f>11208139/2</f>
        <v>5604069.5</v>
      </c>
      <c r="D15" s="23">
        <v>7281056</v>
      </c>
      <c r="E15" s="23">
        <f>6094/2</f>
        <v>3047</v>
      </c>
      <c r="F15" s="23">
        <v>6779</v>
      </c>
      <c r="G15" s="28" t="s">
        <v>22</v>
      </c>
      <c r="H15" s="28" t="s">
        <v>22</v>
      </c>
      <c r="I15" s="15" t="s">
        <v>35</v>
      </c>
    </row>
    <row r="16" spans="1:9" ht="15.75" customHeight="1" x14ac:dyDescent="0.25">
      <c r="A16" s="15"/>
      <c r="B16" s="15" t="s">
        <v>58</v>
      </c>
      <c r="C16" s="23">
        <f>235473/2</f>
        <v>117736.5</v>
      </c>
      <c r="D16" s="28">
        <v>0</v>
      </c>
      <c r="E16" s="28">
        <v>217</v>
      </c>
      <c r="F16" s="28">
        <v>0</v>
      </c>
      <c r="G16" s="28" t="s">
        <v>22</v>
      </c>
      <c r="H16" s="28" t="s">
        <v>22</v>
      </c>
      <c r="I16" s="15" t="s">
        <v>59</v>
      </c>
    </row>
    <row r="17" spans="1:9" x14ac:dyDescent="0.25">
      <c r="A17" s="15"/>
      <c r="B17" s="15" t="s">
        <v>60</v>
      </c>
      <c r="C17" s="23">
        <f>8974871/2</f>
        <v>4487435.5</v>
      </c>
      <c r="D17" s="28">
        <v>0</v>
      </c>
      <c r="E17" s="28">
        <v>0</v>
      </c>
      <c r="F17" s="28">
        <v>0</v>
      </c>
      <c r="G17" s="28" t="s">
        <v>22</v>
      </c>
      <c r="H17" s="28" t="s">
        <v>22</v>
      </c>
      <c r="I17" s="15" t="s">
        <v>61</v>
      </c>
    </row>
    <row r="18" spans="1:9" x14ac:dyDescent="0.25">
      <c r="A18" s="15"/>
      <c r="B18" s="15" t="s">
        <v>62</v>
      </c>
      <c r="C18" s="23">
        <f>965660/2</f>
        <v>482830</v>
      </c>
      <c r="D18" s="28">
        <v>0</v>
      </c>
      <c r="E18" s="28">
        <v>0</v>
      </c>
      <c r="F18" s="28">
        <v>0</v>
      </c>
      <c r="G18" s="28" t="s">
        <v>22</v>
      </c>
      <c r="H18" s="28" t="s">
        <v>22</v>
      </c>
      <c r="I18" s="15" t="s">
        <v>63</v>
      </c>
    </row>
    <row r="19" spans="1:9" x14ac:dyDescent="0.25">
      <c r="A19" s="15"/>
      <c r="B19" s="15" t="s">
        <v>64</v>
      </c>
      <c r="C19" s="23">
        <f>390000/2</f>
        <v>195000</v>
      </c>
      <c r="D19" s="23">
        <v>226250</v>
      </c>
      <c r="E19" s="28">
        <f>260/2</f>
        <v>130</v>
      </c>
      <c r="F19" s="28">
        <v>318</v>
      </c>
      <c r="G19" s="28" t="s">
        <v>22</v>
      </c>
      <c r="H19" s="28" t="s">
        <v>22</v>
      </c>
      <c r="I19" s="15" t="s">
        <v>65</v>
      </c>
    </row>
    <row r="20" spans="1:9" x14ac:dyDescent="0.25">
      <c r="A20" s="20" t="s">
        <v>36</v>
      </c>
      <c r="B20" s="18" t="s">
        <v>37</v>
      </c>
      <c r="C20" s="24">
        <f>SUM(C21:C24)</f>
        <v>8370370.5</v>
      </c>
      <c r="D20" s="24">
        <f t="shared" ref="D20:F20" si="1">SUM(D21:D24)</f>
        <v>10022474</v>
      </c>
      <c r="E20" s="24">
        <f t="shared" si="1"/>
        <v>31718.5</v>
      </c>
      <c r="F20" s="24">
        <f t="shared" si="1"/>
        <v>32231</v>
      </c>
      <c r="G20" s="27" t="s">
        <v>22</v>
      </c>
      <c r="H20" s="27" t="s">
        <v>22</v>
      </c>
      <c r="I20" s="21" t="s">
        <v>38</v>
      </c>
    </row>
    <row r="21" spans="1:9" x14ac:dyDescent="0.25">
      <c r="A21" s="15"/>
      <c r="B21" s="15" t="s">
        <v>34</v>
      </c>
      <c r="C21" s="23">
        <f>11174882/2</f>
        <v>5587441</v>
      </c>
      <c r="D21" s="23">
        <v>7118898</v>
      </c>
      <c r="E21" s="23">
        <f>407/2</f>
        <v>203.5</v>
      </c>
      <c r="F21" s="23">
        <v>684</v>
      </c>
      <c r="G21" s="28" t="s">
        <v>22</v>
      </c>
      <c r="H21" s="28" t="s">
        <v>22</v>
      </c>
      <c r="I21" s="15" t="s">
        <v>35</v>
      </c>
    </row>
    <row r="22" spans="1:9" x14ac:dyDescent="0.25">
      <c r="A22" s="15"/>
      <c r="B22" s="15" t="s">
        <v>66</v>
      </c>
      <c r="C22" s="23">
        <f>783203/2</f>
        <v>391601.5</v>
      </c>
      <c r="D22" s="23">
        <v>391602</v>
      </c>
      <c r="E22" s="23">
        <f>6530/2</f>
        <v>3265</v>
      </c>
      <c r="F22" s="23">
        <v>3354</v>
      </c>
      <c r="G22" s="28" t="s">
        <v>22</v>
      </c>
      <c r="H22" s="28" t="s">
        <v>22</v>
      </c>
      <c r="I22" s="15" t="s">
        <v>67</v>
      </c>
    </row>
    <row r="23" spans="1:9" x14ac:dyDescent="0.25">
      <c r="A23" s="15"/>
      <c r="B23" s="15" t="s">
        <v>68</v>
      </c>
      <c r="C23" s="23">
        <f>579656/2</f>
        <v>289828</v>
      </c>
      <c r="D23" s="28">
        <v>306638</v>
      </c>
      <c r="E23" s="28">
        <f>55000/2</f>
        <v>27500</v>
      </c>
      <c r="F23" s="28">
        <v>27425</v>
      </c>
      <c r="G23" s="28" t="s">
        <v>22</v>
      </c>
      <c r="H23" s="28" t="s">
        <v>22</v>
      </c>
      <c r="I23" s="15" t="s">
        <v>69</v>
      </c>
    </row>
    <row r="24" spans="1:9" x14ac:dyDescent="0.25">
      <c r="A24" s="15"/>
      <c r="B24" s="15" t="s">
        <v>70</v>
      </c>
      <c r="C24" s="23">
        <f>4203000/2</f>
        <v>2101500</v>
      </c>
      <c r="D24" s="23">
        <v>2205336</v>
      </c>
      <c r="E24" s="23">
        <f>1500/2</f>
        <v>750</v>
      </c>
      <c r="F24" s="23">
        <v>768</v>
      </c>
      <c r="G24" s="28" t="s">
        <v>22</v>
      </c>
      <c r="H24" s="28" t="s">
        <v>22</v>
      </c>
      <c r="I24" s="15" t="s">
        <v>71</v>
      </c>
    </row>
    <row r="25" spans="1:9" x14ac:dyDescent="0.25">
      <c r="A25" s="20" t="s">
        <v>39</v>
      </c>
      <c r="B25" s="18" t="s">
        <v>40</v>
      </c>
      <c r="C25" s="24">
        <f>SUM(C26:C35)</f>
        <v>23036604.5</v>
      </c>
      <c r="D25" s="24">
        <f>SUM(D26:D35)</f>
        <v>16956279</v>
      </c>
      <c r="E25" s="24">
        <f t="shared" ref="E25:H25" si="2">SUM(E26:E35)</f>
        <v>612392</v>
      </c>
      <c r="F25" s="24">
        <f t="shared" si="2"/>
        <v>520808</v>
      </c>
      <c r="G25" s="24">
        <f t="shared" si="2"/>
        <v>22239.07</v>
      </c>
      <c r="H25" s="24">
        <f t="shared" si="2"/>
        <v>19014.330000000002</v>
      </c>
      <c r="I25" s="21" t="s">
        <v>41</v>
      </c>
    </row>
    <row r="26" spans="1:9" x14ac:dyDescent="0.25">
      <c r="A26" s="15"/>
      <c r="B26" s="15" t="s">
        <v>26</v>
      </c>
      <c r="C26" s="23">
        <f>5425824/2</f>
        <v>2712912</v>
      </c>
      <c r="D26" s="23">
        <v>2708751</v>
      </c>
      <c r="E26" s="23">
        <f>378911/2</f>
        <v>189455.5</v>
      </c>
      <c r="F26" s="28">
        <v>153912</v>
      </c>
      <c r="G26" s="23">
        <v>100.48</v>
      </c>
      <c r="H26" s="23">
        <v>84.65</v>
      </c>
      <c r="I26" s="15" t="s">
        <v>27</v>
      </c>
    </row>
    <row r="27" spans="1:9" x14ac:dyDescent="0.25">
      <c r="A27" s="15"/>
      <c r="B27" s="15" t="s">
        <v>42</v>
      </c>
      <c r="C27" s="23">
        <f>12698580/2</f>
        <v>6349290</v>
      </c>
      <c r="D27" s="23">
        <v>6349290</v>
      </c>
      <c r="E27" s="23">
        <f>535232/2</f>
        <v>267616</v>
      </c>
      <c r="F27" s="28">
        <v>278798</v>
      </c>
      <c r="G27" s="23">
        <v>40.39</v>
      </c>
      <c r="H27" s="23">
        <v>36.380000000000003</v>
      </c>
      <c r="I27" s="15" t="s">
        <v>43</v>
      </c>
    </row>
    <row r="28" spans="1:9" x14ac:dyDescent="0.25">
      <c r="A28" s="15"/>
      <c r="B28" s="15" t="s">
        <v>44</v>
      </c>
      <c r="C28" s="23">
        <f>9035733/2</f>
        <v>4517866.5</v>
      </c>
      <c r="D28" s="23">
        <v>4516867</v>
      </c>
      <c r="E28" s="23">
        <f>97561/2</f>
        <v>48780.5</v>
      </c>
      <c r="F28" s="28">
        <v>32028</v>
      </c>
      <c r="G28" s="23">
        <v>407</v>
      </c>
      <c r="H28" s="23">
        <v>148.5</v>
      </c>
      <c r="I28" s="15" t="s">
        <v>45</v>
      </c>
    </row>
    <row r="29" spans="1:9" x14ac:dyDescent="0.25">
      <c r="A29" s="15"/>
      <c r="B29" s="15" t="s">
        <v>46</v>
      </c>
      <c r="C29" s="23">
        <f>889879/2</f>
        <v>444939.5</v>
      </c>
      <c r="D29" s="23">
        <v>444940</v>
      </c>
      <c r="E29" s="23">
        <f>99554/2</f>
        <v>49777</v>
      </c>
      <c r="F29" s="28">
        <v>39215</v>
      </c>
      <c r="G29" s="23">
        <v>500.2</v>
      </c>
      <c r="H29" s="23">
        <v>294.8</v>
      </c>
      <c r="I29" s="15" t="s">
        <v>47</v>
      </c>
    </row>
    <row r="30" spans="1:9" x14ac:dyDescent="0.25">
      <c r="A30" s="15"/>
      <c r="B30" s="15" t="s">
        <v>72</v>
      </c>
      <c r="C30" s="23">
        <f>139912/2</f>
        <v>69956</v>
      </c>
      <c r="D30" s="23">
        <v>55647</v>
      </c>
      <c r="E30" s="23">
        <f>33264/2</f>
        <v>16632</v>
      </c>
      <c r="F30" s="28">
        <v>6541</v>
      </c>
      <c r="G30" s="28" t="s">
        <v>22</v>
      </c>
      <c r="H30" s="28" t="s">
        <v>22</v>
      </c>
      <c r="I30" s="15" t="s">
        <v>73</v>
      </c>
    </row>
    <row r="31" spans="1:9" x14ac:dyDescent="0.25">
      <c r="A31" s="15"/>
      <c r="B31" s="15" t="s">
        <v>74</v>
      </c>
      <c r="C31" s="23">
        <f>2614685/2</f>
        <v>1307342.5</v>
      </c>
      <c r="D31" s="28">
        <v>1307215</v>
      </c>
      <c r="E31" s="23">
        <f>891/2</f>
        <v>445.5</v>
      </c>
      <c r="F31" s="28">
        <v>570</v>
      </c>
      <c r="G31" s="23">
        <v>21191</v>
      </c>
      <c r="H31" s="23">
        <v>18450</v>
      </c>
      <c r="I31" s="15" t="s">
        <v>75</v>
      </c>
    </row>
    <row r="32" spans="1:9" x14ac:dyDescent="0.25">
      <c r="A32" s="15"/>
      <c r="B32" s="15" t="s">
        <v>76</v>
      </c>
      <c r="C32" s="23">
        <f>2563917/2</f>
        <v>1281958.5</v>
      </c>
      <c r="D32" s="23">
        <v>1120304</v>
      </c>
      <c r="E32" s="23">
        <f>1667/2</f>
        <v>833.5</v>
      </c>
      <c r="F32" s="28">
        <v>666</v>
      </c>
      <c r="G32" s="28" t="s">
        <v>22</v>
      </c>
      <c r="H32" s="28" t="s">
        <v>22</v>
      </c>
      <c r="I32" s="15" t="s">
        <v>77</v>
      </c>
    </row>
    <row r="33" spans="1:9" x14ac:dyDescent="0.25">
      <c r="A33" s="15"/>
      <c r="B33" s="15" t="s">
        <v>78</v>
      </c>
      <c r="C33" s="23">
        <f>500001/2</f>
        <v>250000.5</v>
      </c>
      <c r="D33" s="28">
        <v>83597</v>
      </c>
      <c r="E33" s="23">
        <f>7/2</f>
        <v>3.5</v>
      </c>
      <c r="F33" s="28">
        <v>3</v>
      </c>
      <c r="G33" s="28" t="s">
        <v>22</v>
      </c>
      <c r="H33" s="28" t="s">
        <v>22</v>
      </c>
      <c r="I33" s="15" t="s">
        <v>79</v>
      </c>
    </row>
    <row r="34" spans="1:9" x14ac:dyDescent="0.25">
      <c r="A34" s="15"/>
      <c r="B34" s="15" t="s">
        <v>80</v>
      </c>
      <c r="C34" s="23">
        <f>1208748/2</f>
        <v>604374</v>
      </c>
      <c r="D34" s="23">
        <v>369668</v>
      </c>
      <c r="E34" s="23">
        <f>11697/2</f>
        <v>5848.5</v>
      </c>
      <c r="F34" s="28">
        <v>9075</v>
      </c>
      <c r="G34" s="28" t="s">
        <v>22</v>
      </c>
      <c r="H34" s="28" t="s">
        <v>22</v>
      </c>
      <c r="I34" s="15" t="s">
        <v>81</v>
      </c>
    </row>
    <row r="35" spans="1:9" x14ac:dyDescent="0.25">
      <c r="A35" s="15"/>
      <c r="B35" s="15" t="s">
        <v>82</v>
      </c>
      <c r="C35" s="23">
        <f>10995930/2</f>
        <v>5497965</v>
      </c>
      <c r="D35" s="28">
        <v>0</v>
      </c>
      <c r="E35" s="23">
        <v>33000</v>
      </c>
      <c r="F35" s="28">
        <v>0</v>
      </c>
      <c r="G35" s="28" t="s">
        <v>22</v>
      </c>
      <c r="H35" s="28" t="s">
        <v>22</v>
      </c>
      <c r="I35" s="15" t="s">
        <v>83</v>
      </c>
    </row>
    <row r="36" spans="1:9" x14ac:dyDescent="0.25">
      <c r="A36" s="20" t="s">
        <v>84</v>
      </c>
      <c r="B36" s="18" t="s">
        <v>85</v>
      </c>
      <c r="C36" s="24">
        <f>SUM(C37:C39)</f>
        <v>4832018</v>
      </c>
      <c r="D36" s="24">
        <f t="shared" ref="D36:F36" si="3">SUM(D37:D39)</f>
        <v>3833202</v>
      </c>
      <c r="E36" s="24">
        <f>SUM(E37:E39)</f>
        <v>1081135</v>
      </c>
      <c r="F36" s="24">
        <f t="shared" si="3"/>
        <v>1190303</v>
      </c>
      <c r="G36" s="27" t="s">
        <v>22</v>
      </c>
      <c r="H36" s="27" t="s">
        <v>22</v>
      </c>
      <c r="I36" s="21" t="s">
        <v>86</v>
      </c>
    </row>
    <row r="37" spans="1:9" x14ac:dyDescent="0.25">
      <c r="A37" s="15"/>
      <c r="B37" s="15" t="s">
        <v>87</v>
      </c>
      <c r="C37" s="23">
        <f>3131715/2</f>
        <v>1565857.5</v>
      </c>
      <c r="D37" s="23">
        <v>1694927</v>
      </c>
      <c r="E37" s="28">
        <f>1303/2</f>
        <v>651.5</v>
      </c>
      <c r="F37" s="28">
        <v>1306</v>
      </c>
      <c r="G37" s="28" t="s">
        <v>22</v>
      </c>
      <c r="H37" s="28" t="s">
        <v>22</v>
      </c>
      <c r="I37" s="12" t="s">
        <v>88</v>
      </c>
    </row>
    <row r="38" spans="1:9" x14ac:dyDescent="0.25">
      <c r="A38" s="15"/>
      <c r="B38" s="15" t="s">
        <v>89</v>
      </c>
      <c r="C38" s="23">
        <f>2797022/2</f>
        <v>1398511</v>
      </c>
      <c r="D38" s="28">
        <v>358864</v>
      </c>
      <c r="E38" s="28">
        <f>1322/2</f>
        <v>661</v>
      </c>
      <c r="F38" s="28">
        <v>1254</v>
      </c>
      <c r="G38" s="28" t="s">
        <v>22</v>
      </c>
      <c r="H38" s="28" t="s">
        <v>22</v>
      </c>
      <c r="I38" s="12" t="s">
        <v>90</v>
      </c>
    </row>
    <row r="39" spans="1:9" x14ac:dyDescent="0.25">
      <c r="A39" s="15"/>
      <c r="B39" s="15" t="s">
        <v>91</v>
      </c>
      <c r="C39" s="23">
        <f>3735299/2</f>
        <v>1867649.5</v>
      </c>
      <c r="D39" s="23">
        <v>1779411</v>
      </c>
      <c r="E39" s="28">
        <f>2159645/2</f>
        <v>1079822.5</v>
      </c>
      <c r="F39" s="28">
        <v>1187743</v>
      </c>
      <c r="G39" s="28" t="s">
        <v>22</v>
      </c>
      <c r="H39" s="28" t="s">
        <v>22</v>
      </c>
      <c r="I39" s="12" t="s">
        <v>92</v>
      </c>
    </row>
    <row r="40" spans="1:9" x14ac:dyDescent="0.25">
      <c r="A40" s="20" t="s">
        <v>93</v>
      </c>
      <c r="B40" s="18" t="s">
        <v>94</v>
      </c>
      <c r="C40" s="24">
        <f>SUM(C41:C44)</f>
        <v>5512710</v>
      </c>
      <c r="D40" s="24">
        <f t="shared" ref="D40:F40" si="4">SUM(D41:D44)</f>
        <v>1355820</v>
      </c>
      <c r="E40" s="24">
        <f t="shared" si="4"/>
        <v>14570</v>
      </c>
      <c r="F40" s="24">
        <f t="shared" si="4"/>
        <v>3695</v>
      </c>
      <c r="G40" s="27" t="s">
        <v>22</v>
      </c>
      <c r="H40" s="27" t="s">
        <v>22</v>
      </c>
      <c r="I40" s="21" t="s">
        <v>95</v>
      </c>
    </row>
    <row r="41" spans="1:9" x14ac:dyDescent="0.25">
      <c r="A41" s="15"/>
      <c r="B41" s="15" t="s">
        <v>96</v>
      </c>
      <c r="C41" s="23">
        <f>1599926/2</f>
        <v>799963</v>
      </c>
      <c r="D41" s="28">
        <v>0</v>
      </c>
      <c r="E41" s="28">
        <v>11926</v>
      </c>
      <c r="F41" s="28">
        <v>0</v>
      </c>
      <c r="G41" s="28" t="s">
        <v>22</v>
      </c>
      <c r="H41" s="28" t="s">
        <v>22</v>
      </c>
      <c r="I41" s="12" t="s">
        <v>97</v>
      </c>
    </row>
    <row r="42" spans="1:9" x14ac:dyDescent="0.25">
      <c r="A42" s="15"/>
      <c r="B42" s="15" t="s">
        <v>98</v>
      </c>
      <c r="C42" s="23">
        <f>1875000/2</f>
        <v>937500</v>
      </c>
      <c r="D42" s="23">
        <v>900000</v>
      </c>
      <c r="E42" s="23">
        <f>75/2</f>
        <v>37.5</v>
      </c>
      <c r="F42" s="23">
        <v>36</v>
      </c>
      <c r="G42" s="28" t="s">
        <v>22</v>
      </c>
      <c r="H42" s="28" t="s">
        <v>22</v>
      </c>
      <c r="I42" s="12" t="s">
        <v>99</v>
      </c>
    </row>
    <row r="43" spans="1:9" x14ac:dyDescent="0.25">
      <c r="A43" s="15"/>
      <c r="B43" s="15" t="s">
        <v>100</v>
      </c>
      <c r="C43" s="23">
        <f>4500000/2</f>
        <v>2250000</v>
      </c>
      <c r="D43" s="28">
        <v>0</v>
      </c>
      <c r="E43" s="28">
        <v>4</v>
      </c>
      <c r="F43" s="28">
        <v>0</v>
      </c>
      <c r="G43" s="28" t="s">
        <v>22</v>
      </c>
      <c r="H43" s="28" t="s">
        <v>22</v>
      </c>
      <c r="I43" s="12" t="s">
        <v>101</v>
      </c>
    </row>
    <row r="44" spans="1:9" x14ac:dyDescent="0.25">
      <c r="A44" s="15"/>
      <c r="B44" s="15" t="s">
        <v>102</v>
      </c>
      <c r="C44" s="23">
        <f>3050494/2</f>
        <v>1525247</v>
      </c>
      <c r="D44" s="23">
        <v>455820</v>
      </c>
      <c r="E44" s="23">
        <f>5205/2</f>
        <v>2602.5</v>
      </c>
      <c r="F44" s="28">
        <v>3659</v>
      </c>
      <c r="G44" s="28" t="s">
        <v>22</v>
      </c>
      <c r="H44" s="28" t="s">
        <v>22</v>
      </c>
      <c r="I44" s="12" t="s">
        <v>103</v>
      </c>
    </row>
    <row r="45" spans="1:9" x14ac:dyDescent="0.25">
      <c r="A45" s="22" t="s">
        <v>104</v>
      </c>
      <c r="B45" s="22" t="s">
        <v>49</v>
      </c>
      <c r="C45" s="25">
        <f>C9+C20+C25+C36+C40</f>
        <v>56700000</v>
      </c>
      <c r="D45" s="25">
        <f t="shared" ref="D45" si="5">D9+D20+D25+D36+D40</f>
        <v>44120384</v>
      </c>
      <c r="E45" s="25">
        <f>E9+E20+E25+E36+E40</f>
        <v>1771691</v>
      </c>
      <c r="F45" s="25">
        <f>F9+F20+F25+F36+F40</f>
        <v>1815629</v>
      </c>
      <c r="G45" s="25">
        <f>G25</f>
        <v>22239.07</v>
      </c>
      <c r="H45" s="25">
        <f>H25</f>
        <v>19014.330000000002</v>
      </c>
      <c r="I45" s="22" t="s">
        <v>50</v>
      </c>
    </row>
    <row r="46" spans="1:9" x14ac:dyDescent="0.25">
      <c r="A46" s="34" t="s">
        <v>51</v>
      </c>
      <c r="I46" s="42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="115" zoomScaleNormal="115" workbookViewId="0"/>
  </sheetViews>
  <sheetFormatPr defaultRowHeight="15" x14ac:dyDescent="0.25"/>
  <cols>
    <col min="1" max="16384" width="9.140625" style="36"/>
  </cols>
  <sheetData>
    <row r="1" spans="1:4" x14ac:dyDescent="0.25">
      <c r="A1" s="37"/>
      <c r="B1" s="37" t="s">
        <v>14</v>
      </c>
      <c r="C1" s="37" t="s">
        <v>15</v>
      </c>
      <c r="D1" s="38"/>
    </row>
    <row r="2" spans="1:4" x14ac:dyDescent="0.25">
      <c r="A2" s="39" t="s">
        <v>21</v>
      </c>
      <c r="B2" s="40">
        <v>14.948297</v>
      </c>
      <c r="C2" s="40">
        <v>11.952609000000001</v>
      </c>
      <c r="D2" s="38"/>
    </row>
    <row r="3" spans="1:4" x14ac:dyDescent="0.25">
      <c r="A3" s="37" t="s">
        <v>37</v>
      </c>
      <c r="B3" s="40">
        <v>8.3703704999999999</v>
      </c>
      <c r="C3" s="40">
        <v>10.022474000000001</v>
      </c>
      <c r="D3" s="38"/>
    </row>
    <row r="4" spans="1:4" x14ac:dyDescent="0.25">
      <c r="A4" s="37" t="s">
        <v>40</v>
      </c>
      <c r="B4" s="40">
        <v>23.036604499999999</v>
      </c>
      <c r="C4" s="40">
        <v>16.956278999999999</v>
      </c>
      <c r="D4" s="38"/>
    </row>
    <row r="5" spans="1:4" x14ac:dyDescent="0.25">
      <c r="A5" s="37" t="s">
        <v>85</v>
      </c>
      <c r="B5" s="40">
        <v>4.8320179999999997</v>
      </c>
      <c r="C5" s="40">
        <v>3.833202</v>
      </c>
      <c r="D5" s="38"/>
    </row>
    <row r="6" spans="1:4" x14ac:dyDescent="0.25">
      <c r="A6" s="37" t="s">
        <v>94</v>
      </c>
      <c r="B6" s="40">
        <v>5.5127100000000002</v>
      </c>
      <c r="C6" s="40">
        <v>1.35582</v>
      </c>
      <c r="D6" s="38"/>
    </row>
    <row r="19" spans="1:3" x14ac:dyDescent="0.25">
      <c r="A19" s="37"/>
      <c r="B19" s="37" t="s">
        <v>17</v>
      </c>
      <c r="C19" s="37" t="s">
        <v>18</v>
      </c>
    </row>
    <row r="20" spans="1:3" x14ac:dyDescent="0.25">
      <c r="A20" s="39" t="s">
        <v>23</v>
      </c>
      <c r="B20" s="40">
        <v>14.948297</v>
      </c>
      <c r="C20" s="40">
        <v>11.952609000000001</v>
      </c>
    </row>
    <row r="21" spans="1:3" x14ac:dyDescent="0.25">
      <c r="A21" s="37" t="s">
        <v>38</v>
      </c>
      <c r="B21" s="40">
        <v>8.3703704999999999</v>
      </c>
      <c r="C21" s="40">
        <v>10.022474000000001</v>
      </c>
    </row>
    <row r="22" spans="1:3" x14ac:dyDescent="0.25">
      <c r="A22" s="37" t="s">
        <v>41</v>
      </c>
      <c r="B22" s="40">
        <v>23.036604499999999</v>
      </c>
      <c r="C22" s="40">
        <v>16.956278999999999</v>
      </c>
    </row>
    <row r="23" spans="1:3" x14ac:dyDescent="0.25">
      <c r="A23" s="37" t="s">
        <v>86</v>
      </c>
      <c r="B23" s="40">
        <v>4.8320179999999997</v>
      </c>
      <c r="C23" s="40">
        <v>3.833202</v>
      </c>
    </row>
    <row r="24" spans="1:3" x14ac:dyDescent="0.25">
      <c r="A24" s="37" t="s">
        <v>95</v>
      </c>
      <c r="B24" s="40">
        <v>5.5127100000000002</v>
      </c>
      <c r="C24" s="40">
        <v>1.35582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8cde31a-aed2-49ce-b570-e812b29b6342">
      <UserInfo>
        <DisplayName>Dace Kalsone</DisplayName>
        <AccountId>11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58CCBB6005E9C4F91FE64D77491D1CF" ma:contentTypeVersion="7" ma:contentTypeDescription="Izveidot jaunu dokumentu." ma:contentTypeScope="" ma:versionID="890b44141e1aac5adbc6ac18ab96e0a4">
  <xsd:schema xmlns:xsd="http://www.w3.org/2001/XMLSchema" xmlns:xs="http://www.w3.org/2001/XMLSchema" xmlns:p="http://schemas.microsoft.com/office/2006/metadata/properties" xmlns:ns2="9c5f4703-e5b5-4a71-bd00-8c265978af61" xmlns:ns3="18cde31a-aed2-49ce-b570-e812b29b6342" targetNamespace="http://schemas.microsoft.com/office/2006/metadata/properties" ma:root="true" ma:fieldsID="6bd430646869c7c3e9e94954e9c9243d" ns2:_="" ns3:_="">
    <xsd:import namespace="9c5f4703-e5b5-4a71-bd00-8c265978af61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f4703-e5b5-4a71-bd00-8c265978a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783B0-12B3-43AA-B116-4DEB612B52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2AF8D-EBCB-4B72-9084-D0161C067006}">
  <ds:schemaRefs>
    <ds:schemaRef ds:uri="9c5f4703-e5b5-4a71-bd00-8c265978af61"/>
    <ds:schemaRef ds:uri="http://schemas.microsoft.com/office/2006/documentManagement/types"/>
    <ds:schemaRef ds:uri="18cde31a-aed2-49ce-b570-e812b29b6342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E6B3FB-08D9-432E-A45A-B159CC41B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f4703-e5b5-4a71-bd00-8c265978af61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2017_I</vt:lpstr>
      <vt:lpstr>2017</vt:lpstr>
      <vt:lpstr>attels_2017</vt:lpstr>
      <vt:lpstr>2018_I</vt:lpstr>
      <vt:lpstr>attels_2018_I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Dace Kalsone</cp:lastModifiedBy>
  <cp:revision/>
  <dcterms:created xsi:type="dcterms:W3CDTF">2018-01-22T15:20:07Z</dcterms:created>
  <dcterms:modified xsi:type="dcterms:W3CDTF">2019-02-18T14:47:35Z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0x010100F58CCBB6005E9C4F91FE64D77491D1CF</vt:lpwstr>
  </property>
</Properties>
</file>